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xr:revisionPtr revIDLastSave="0" documentId="10_ncr:8100000_{12D3213D-9CF8-4BBB-906C-25782F83830F}" xr6:coauthVersionLast="32" xr6:coauthVersionMax="32" xr10:uidLastSave="{00000000-0000-0000-0000-000000000000}"/>
  <bookViews>
    <workbookView xWindow="0" yWindow="0" windowWidth="28800" windowHeight="11340" xr2:uid="{00000000-000D-0000-FFFF-FFFF00000000}"/>
  </bookViews>
  <sheets>
    <sheet name="Lehensbogen" sheetId="1" r:id="rId1"/>
    <sheet name="Baukostenübersicht" sheetId="8" state="hidden" r:id="rId2"/>
    <sheet name="Parameter" sheetId="2" state="hidden" r:id="rId3"/>
    <sheet name="Parameter II" sheetId="3" state="hidden" r:id="rId4"/>
    <sheet name="Produktion" sheetId="4" state="hidden" r:id="rId5"/>
    <sheet name="Handelwaren" sheetId="6" state="hidden" r:id="rId6"/>
    <sheet name="Erweiterungen" sheetId="5" state="hidden" r:id="rId7"/>
    <sheet name="Preisliste Throal" sheetId="9" state="hidden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 l="1"/>
  <c r="J44" i="1"/>
  <c r="J43" i="1" l="1"/>
  <c r="X133" i="1" l="1"/>
  <c r="X132" i="1"/>
  <c r="X131" i="1"/>
  <c r="X130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34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L33" i="1"/>
  <c r="L30" i="1"/>
  <c r="C24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J22" i="1" s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J48" i="1"/>
  <c r="L34" i="1"/>
  <c r="C128" i="1" l="1"/>
  <c r="I128" i="1" s="1"/>
  <c r="S94" i="1"/>
  <c r="Y94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<sst xmlns="http://schemas.openxmlformats.org/spreadsheetml/2006/main" count="1726" uniqueCount="436">
  <si>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</si>
  <si>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</si>
  <si>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</si>
  <si>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</si>
  <si>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</si>
  <si>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</si>
  <si>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</si>
  <si>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</si>
  <si>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</si>
  <si>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</si>
  <si>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</si>
  <si>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</si>
  <si>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</si>
  <si>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</si>
  <si>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</si>
  <si>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</si>
  <si>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</si>
  <si>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</si>
  <si>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</si>
  <si>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</si>
  <si>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</si>
  <si>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</si>
  <si>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</si>
  <si>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</si>
  <si>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</si>
  <si>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</si>
  <si>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</si>
  <si>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</si>
  <si>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</si>
  <si>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</si>
  <si>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</si>
  <si>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</si>
  <si>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</si>
  <si>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</si>
  <si>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</si>
  <si>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</si>
  <si>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</si>
  <si>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</si>
  <si>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</si>
  <si>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</si>
  <si>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</si>
  <si>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</si>
  <si>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</si>
  <si>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</si>
  <si>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</si>
  <si>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</si>
  <si>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</si>
  <si>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</si>
  <si>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</si>
  <si>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</si>
  <si>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</si>
  <si>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</si>
  <si>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</si>
  <si>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</si>
  <si>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</si>
  <si>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</si>
  <si>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</si>
  <si>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</si>
  <si>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</si>
  <si>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</si>
  <si>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</si>
  <si>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</si>
  <si>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</si>
  <si>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</si>
  <si>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</si>
  <si>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</si>
  <si>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</si>
  <si>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</si>
  <si>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</si>
  <si>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</si>
  <si>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</si>
  <si>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</si>
  <si>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</si>
  <si>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</si>
  <si>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</si>
  <si>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</si>
  <si>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</si>
  <si>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</si>
  <si>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</si>
  <si>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</si>
  <si>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</si>
  <si>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</si>
  <si>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</si>
  <si>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</si>
  <si>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</si>
  <si>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</si>
  <si>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</si>
  <si>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</si>
  <si>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</si>
  <si>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</si>
  <si>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</si>
  <si>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</si>
  <si>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</si>
  <si>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</si>
  <si>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</si>
  <si>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</si>
  <si>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</si>
  <si>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</si>
  <si>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</si>
  <si>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</si>
  <si>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</si>
  <si>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</si>
  <si>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</si>
  <si>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</si>
  <si>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</si>
  <si>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</si>
  <si>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</si>
  <si>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</si>
  <si>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</si>
  <si>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</si>
  <si>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</si>
  <si>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</si>
  <si>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</si>
  <si>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</si>
  <si>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</si>
  <si>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</si>
  <si>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</si>
  <si>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</si>
  <si>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</si>
  <si>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</si>
  <si>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</si>
  <si>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</si>
  <si>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</si>
  <si>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</si>
  <si>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</si>
  <si>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</si>
  <si>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</si>
  <si>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</si>
  <si>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</si>
  <si>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</si>
  <si>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</si>
  <si>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</si>
  <si>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</si>
  <si>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</si>
  <si>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</si>
  <si>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</si>
  <si>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</si>
  <si>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</si>
  <si>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</si>
  <si>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</si>
  <si>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</si>
  <si>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</si>
  <si>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</si>
  <si>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</si>
  <si>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</si>
  <si>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</si>
  <si>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</si>
  <si>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</si>
  <si>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</si>
  <si>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</si>
  <si>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</si>
  <si>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</si>
  <si>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</si>
  <si>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</si>
  <si>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</si>
  <si>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</si>
  <si>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</si>
  <si>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</si>
  <si>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</si>
  <si>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</si>
  <si>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</si>
  <si>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</si>
  <si>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</si>
  <si>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</si>
  <si>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</si>
  <si>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</si>
  <si>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</si>
  <si>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</si>
  <si>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</si>
  <si>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</si>
  <si>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</si>
  <si>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</si>
  <si>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</si>
  <si>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</si>
  <si>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</si>
  <si>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</si>
  <si>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</si>
  <si>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</si>
  <si>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</si>
  <si>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</si>
  <si>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</si>
  <si>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</si>
  <si>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</si>
  <si>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</si>
  <si>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</si>
  <si>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</si>
  <si>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</si>
  <si>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</si>
  <si>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</si>
  <si>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</si>
  <si>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</si>
  <si>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</si>
  <si>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</si>
  <si>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</si>
  <si>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</si>
  <si>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</si>
  <si>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</si>
  <si>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</si>
  <si>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</si>
  <si>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</si>
  <si>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</si>
  <si>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</si>
  <si>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</si>
  <si>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</si>
  <si>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</si>
  <si>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</si>
  <si>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</si>
  <si>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</si>
  <si>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</si>
  <si>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</si>
  <si>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</si>
  <si>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</si>
  <si>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</si>
  <si>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</si>
  <si>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</si>
  <si>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</si>
  <si>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</si>
  <si>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</si>
  <si>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</si>
  <si>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</si>
  <si>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</si>
  <si>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</si>
  <si>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</si>
  <si>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</si>
  <si>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</si>
  <si>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</si>
  <si>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</si>
  <si>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</si>
  <si>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</si>
  <si>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</si>
  <si>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</si>
  <si>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</si>
  <si>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</si>
  <si>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</si>
  <si>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</si>
  <si>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</si>
  <si>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</si>
  <si>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</si>
  <si>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</si>
  <si>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</si>
  <si>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</si>
  <si>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</si>
  <si>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</si>
  <si>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</si>
  <si>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</si>
  <si>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</si>
  <si>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</si>
  <si>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</si>
  <si>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</si>
  <si>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</si>
  <si>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</si>
  <si>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</si>
  <si>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</si>
  <si>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</si>
  <si>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</si>
  <si>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</si>
  <si>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</si>
  <si>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</si>
  <si>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</si>
  <si>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</si>
  <si>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</si>
  <si>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</si>
  <si>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</si>
  <si>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</si>
  <si>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</si>
  <si>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</si>
  <si>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</si>
  <si>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</si>
  <si>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</si>
  <si>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</si>
  <si>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</si>
  <si>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</si>
  <si>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</si>
  <si>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</si>
  <si>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</si>
  <si>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</si>
  <si>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</si>
  <si>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</si>
  <si>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</si>
  <si>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</si>
  <si>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</si>
  <si>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</si>
  <si>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</si>
  <si>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</si>
  <si>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</si>
  <si>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</si>
  <si>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</si>
  <si>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</si>
  <si>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</si>
  <si>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</si>
  <si>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</si>
  <si>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</si>
  <si>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</si>
  <si>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</si>
  <si>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</si>
  <si>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</si>
  <si>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</si>
  <si>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</si>
  <si>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</si>
  <si>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</si>
  <si>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</si>
  <si>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</si>
  <si>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</si>
  <si>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</si>
  <si>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</si>
  <si>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</si>
  <si>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</si>
  <si>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</si>
  <si>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</si>
  <si>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</si>
  <si>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</si>
  <si>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</si>
  <si>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</si>
  <si>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</si>
  <si>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</si>
  <si>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</si>
  <si>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</si>
  <si>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</si>
  <si>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</si>
  <si>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</si>
  <si>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</si>
  <si>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</si>
  <si>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</si>
  <si>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</si>
  <si>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</si>
  <si>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</si>
  <si>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</si>
  <si>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</si>
  <si>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</si>
  <si>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</si>
  <si>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</si>
  <si>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</si>
  <si>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</si>
  <si>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</si>
  <si>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</si>
  <si>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</si>
  <si>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</si>
  <si>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</si>
  <si>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</si>
  <si>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</si>
  <si>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</si>
  <si>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</si>
  <si>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</si>
  <si>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</si>
  <si>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</si>
  <si>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</si>
  <si>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</si>
  <si>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</si>
  <si>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</si>
  <si>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</si>
  <si>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</si>
  <si>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</si>
  <si>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</si>
  <si>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</si>
  <si>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</si>
  <si>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</si>
  <si>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</si>
  <si>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</si>
  <si>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</si>
  <si>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</si>
  <si>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</si>
  <si>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</si>
  <si>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</si>
  <si>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</si>
  <si>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</si>
  <si>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</si>
  <si>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</si>
  <si>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</si>
  <si>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</si>
  <si>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</si>
  <si>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</si>
  <si>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</si>
  <si>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</si>
  <si>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</si>
  <si>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</si>
  <si>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</si>
  <si>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</si>
  <si>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</si>
  <si>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</si>
  <si>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</si>
  <si>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</si>
  <si>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</si>
  <si>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</si>
  <si>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</si>
  <si>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</si>
  <si>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</si>
  <si>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</si>
  <si>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</si>
  <si>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</si>
  <si>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</si>
  <si>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</si>
  <si>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</si>
  <si>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</si>
  <si>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</si>
  <si>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</si>
  <si>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</si>
  <si>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</si>
  <si>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</si>
  <si>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</si>
  <si>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</si>
  <si>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</si>
  <si>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</si>
  <si>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</si>
  <si>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</si>
  <si>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</si>
  <si>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</si>
  <si>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</si>
  <si>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</si>
  <si>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</si>
  <si>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</si>
  <si>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</si>
  <si>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</si>
  <si>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</si>
  <si>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</si>
  <si>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</si>
  <si>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</si>
  <si>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</si>
  <si>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</si>
  <si>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</si>
  <si>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</si>
  <si>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</si>
  <si>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</si>
  <si>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</si>
  <si>
    <t>-</t>
  </si>
  <si>
    <t>Nebomort</t>
  </si>
  <si>
    <t>Pixie-Shire</t>
  </si>
  <si>
    <t>Lady Pixie</t>
  </si>
  <si>
    <t>Sir James Oliver J. Cromwell</t>
  </si>
  <si>
    <t>freies Lehen</t>
  </si>
  <si>
    <t>Sanktus Ignum</t>
  </si>
  <si>
    <t>Hügelweide</t>
  </si>
  <si>
    <t>Sir Brali</t>
  </si>
  <si>
    <t>Erding</t>
  </si>
  <si>
    <t>Sir Wilfried</t>
  </si>
  <si>
    <t>Schwarzhügel</t>
  </si>
  <si>
    <t>Sir Nerim, der Junge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</si>
</sst>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0" fillId="6" borderId="23" xfId="0" applyFill="1" applyBorder="1" applyAlignment="1"/>
    <xf numFmtId="0" fontId="0" fillId="6" borderId="59" xfId="0" applyFill="1" applyBorder="1" applyAlignment="1"/>
    <xf numFmtId="0" fontId="0" fillId="6" borderId="12" xfId="0" applyFill="1" applyBorder="1" applyAlignment="1"/>
    <xf numFmtId="0" fontId="4" fillId="4" borderId="23" xfId="0" applyFont="1" applyFill="1" applyBorder="1" applyAlignment="1"/>
    <xf numFmtId="0" fontId="0" fillId="0" borderId="0" xfId="0" applyFill="1"/>
    <xf numFmtId="0" fontId="0" fillId="0" borderId="3" xfId="0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6" borderId="3" xfId="0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center" vertical="top" wrapText="1" shrinkToFit="1"/>
    </xf>
    <xf numFmtId="0" fontId="0" fillId="0" borderId="48" xfId="0" applyFill="1" applyBorder="1" applyAlignment="1" applyProtection="1">
      <alignment horizontal="left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6" borderId="3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46" xfId="0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center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0" fillId="2" borderId="22" xfId="0" applyFill="1" applyBorder="1" applyAlignment="1" applyProtection="1">
      <alignment horizontal="center"/>
      <protection locked="0"/>
    </xf>
    <xf numFmtId="0" fontId="0" fillId="6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/>
    </xf>
    <xf numFmtId="0" fontId="0" fillId="0" borderId="47" xfId="0" applyFill="1" applyBorder="1" applyAlignment="1" applyProtection="1">
      <alignment horizontal="center"/>
      <protection locked="0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 textRotation="255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19" fillId="4" borderId="46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left" vertical="top" wrapText="1" shrinkToFit="1"/>
    </xf>
    <xf numFmtId="0" fontId="20" fillId="4" borderId="46" xfId="0" applyFont="1" applyFill="1" applyBorder="1" applyAlignment="1">
      <alignment horizontal="center" vertical="top" wrapText="1" shrinkToFit="1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209550</xdr:colOff>
          <xdr:row>1</xdr:row>
          <xdr:rowOff>114300</xdr:rowOff>
        </xdr:from>
        <xdr:to>
          <xdr:col>36</xdr:col>
          <xdr:colOff>180975</xdr:colOff>
          <xdr:row>6</xdr:row>
          <xdr:rowOff>190500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entury Gothic"/>
                </a:rPr>
                <a:t>Daten für neue Runde übertragen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J276"/>
  <sheetViews>
    <sheetView tabSelected="1" zoomScaleNormal="100" workbookViewId="0">
      <selection activeCell="AF18" sqref="AF17:AF18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7" t="s">
        <v>105</v>
      </c>
      <c r="B3" s="87"/>
      <c r="C3" s="87"/>
      <c r="D3" s="87"/>
      <c r="E3" s="87"/>
      <c r="F3" s="87"/>
      <c r="G3" s="87"/>
      <c r="H3" s="116">
        <v>29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246" t="s">
        <v>140</v>
      </c>
      <c r="U3" s="247"/>
      <c r="V3" s="247"/>
      <c r="W3" s="247"/>
      <c r="X3" s="247"/>
      <c r="Y3" s="247"/>
      <c r="Z3" s="248"/>
    </row>
    <row r="4" spans="1:26" x14ac:dyDescent="0.3">
      <c r="A4" s="67"/>
      <c r="B4" s="67"/>
      <c r="C4" s="67"/>
      <c r="D4" s="67"/>
      <c r="E4" s="67"/>
      <c r="F4" s="67"/>
      <c r="G4" s="67"/>
      <c r="H4" s="68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249"/>
      <c r="U4" s="250"/>
      <c r="V4" s="250"/>
      <c r="W4" s="250"/>
      <c r="X4" s="250"/>
      <c r="Y4" s="250"/>
      <c r="Z4" s="251"/>
    </row>
    <row r="5" spans="1:26" x14ac:dyDescent="0.3">
      <c r="A5" s="94" t="s">
        <v>1</v>
      </c>
      <c r="B5" s="87"/>
      <c r="C5" s="87"/>
      <c r="D5" s="88"/>
      <c r="E5" s="135" t="str">
        <f>VLOOKUP($H$3,Parameter!$A:$C,2,FALSE)</f>
        <v>Schwarzhügel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66"/>
      <c r="S5" s="66"/>
      <c r="T5" s="249"/>
      <c r="U5" s="250"/>
      <c r="V5" s="250"/>
      <c r="W5" s="250"/>
      <c r="X5" s="250"/>
      <c r="Y5" s="250"/>
      <c r="Z5" s="251"/>
    </row>
    <row r="6" spans="1:26" x14ac:dyDescent="0.3">
      <c r="A6" s="121" t="s">
        <v>106</v>
      </c>
      <c r="B6" s="122"/>
      <c r="C6" s="122"/>
      <c r="D6" s="123"/>
      <c r="E6" s="135" t="str">
        <f>VLOOKUP($H$3,Parameter!$A:$C,3,FALSE)</f>
        <v>Sir Nerim, der Junge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66"/>
      <c r="S6" s="66"/>
      <c r="T6" s="249"/>
      <c r="U6" s="250"/>
      <c r="V6" s="250"/>
      <c r="W6" s="250"/>
      <c r="X6" s="250"/>
      <c r="Y6" s="250"/>
      <c r="Z6" s="251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249"/>
      <c r="U7" s="250"/>
      <c r="V7" s="250"/>
      <c r="W7" s="250"/>
      <c r="X7" s="250"/>
      <c r="Y7" s="250"/>
      <c r="Z7" s="251"/>
    </row>
    <row r="8" spans="1:26" x14ac:dyDescent="0.3">
      <c r="A8" s="86" t="s">
        <v>141</v>
      </c>
      <c r="B8" s="86"/>
      <c r="C8" s="86"/>
      <c r="D8" s="86"/>
      <c r="E8" s="86"/>
      <c r="F8" s="8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249"/>
      <c r="U8" s="250"/>
      <c r="V8" s="250"/>
      <c r="W8" s="250"/>
      <c r="X8" s="250"/>
      <c r="Y8" s="250"/>
      <c r="Z8" s="251"/>
    </row>
    <row r="9" spans="1:26" x14ac:dyDescent="0.3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69"/>
      <c r="T9" s="249"/>
      <c r="U9" s="250"/>
      <c r="V9" s="250"/>
      <c r="W9" s="250"/>
      <c r="X9" s="250"/>
      <c r="Y9" s="250"/>
      <c r="Z9" s="251"/>
    </row>
    <row r="10" spans="1:26" x14ac:dyDescent="0.3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69"/>
      <c r="T10" s="249"/>
      <c r="U10" s="250"/>
      <c r="V10" s="250"/>
      <c r="W10" s="250"/>
      <c r="X10" s="250"/>
      <c r="Y10" s="250"/>
      <c r="Z10" s="251"/>
    </row>
    <row r="11" spans="1:26" x14ac:dyDescent="0.3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69"/>
      <c r="T11" s="249"/>
      <c r="U11" s="250"/>
      <c r="V11" s="250"/>
      <c r="W11" s="250"/>
      <c r="X11" s="250"/>
      <c r="Y11" s="250"/>
      <c r="Z11" s="251"/>
    </row>
    <row r="12" spans="1:26" x14ac:dyDescent="0.3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  <c r="S12" s="69"/>
      <c r="T12" s="252"/>
      <c r="U12" s="253"/>
      <c r="V12" s="253"/>
      <c r="W12" s="253"/>
      <c r="X12" s="253"/>
      <c r="Y12" s="253"/>
      <c r="Z12" s="254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0"/>
      <c r="U13" s="70"/>
      <c r="V13" s="70"/>
      <c r="W13" s="70"/>
      <c r="X13" s="70"/>
      <c r="Y13" s="70"/>
      <c r="Z13" s="66"/>
    </row>
    <row r="14" spans="1:26" x14ac:dyDescent="0.3">
      <c r="A14" s="71" t="s">
        <v>107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6" t="s">
        <v>123</v>
      </c>
      <c r="B16" s="86"/>
      <c r="C16" s="86"/>
      <c r="D16" s="86"/>
      <c r="E16" s="86"/>
      <c r="F16" s="86"/>
      <c r="G16" s="86"/>
      <c r="H16" s="86" t="str">
        <f>VLOOKUP($H$3,Parameter!$A:$O,5,FALSE)</f>
        <v>Wald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66"/>
      <c r="U16" s="66"/>
      <c r="V16" s="66"/>
      <c r="W16" s="66"/>
      <c r="X16" s="87" t="s">
        <v>125</v>
      </c>
      <c r="Y16" s="88"/>
      <c r="Z16" s="63">
        <f>VLOOKUP($H$3,Parameter!$A:$O,4,FALSE)</f>
        <v>2</v>
      </c>
    </row>
    <row r="17" spans="1:26" x14ac:dyDescent="0.3">
      <c r="A17" s="86" t="s">
        <v>124</v>
      </c>
      <c r="B17" s="86"/>
      <c r="C17" s="86"/>
      <c r="D17" s="86"/>
      <c r="E17" s="86"/>
      <c r="F17" s="86"/>
      <c r="G17" s="86"/>
      <c r="H17" s="86" t="str">
        <f>VLOOKUP($H$3,Parameter!$A:$O,9,FALSE)</f>
        <v>alter Friedhof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66"/>
      <c r="U17" s="66"/>
      <c r="V17" s="66"/>
      <c r="W17" s="66"/>
      <c r="X17" s="87" t="s">
        <v>125</v>
      </c>
      <c r="Y17" s="88"/>
      <c r="Z17" s="63">
        <f>VLOOKUP($H$3,Parameter!$A:$O,8,FALSE)</f>
        <v>10</v>
      </c>
    </row>
    <row r="18" spans="1:26" x14ac:dyDescent="0.3">
      <c r="A18" s="86" t="s">
        <v>126</v>
      </c>
      <c r="B18" s="86"/>
      <c r="C18" s="86"/>
      <c r="D18" s="86"/>
      <c r="E18" s="86"/>
      <c r="F18" s="86"/>
      <c r="G18" s="86"/>
      <c r="H18" s="86" t="str">
        <f>VLOOKUP($H$3,Parameter!$A:$O,13,FALSE)</f>
        <v>Dämonenverseucht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66"/>
      <c r="U18" s="66"/>
      <c r="V18" s="66"/>
      <c r="W18" s="66"/>
      <c r="X18" s="87" t="s">
        <v>125</v>
      </c>
      <c r="Y18" s="88"/>
      <c r="Z18" s="63">
        <f>VLOOKUP($H$3,Parameter!$A:$O,12,FALSE)</f>
        <v>8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79" t="s">
        <v>185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7" t="s">
        <v>108</v>
      </c>
      <c r="B22" s="87"/>
      <c r="C22" s="87"/>
      <c r="D22" s="87"/>
      <c r="E22" s="87"/>
      <c r="F22" s="87"/>
      <c r="G22" s="87"/>
      <c r="H22" s="87"/>
      <c r="I22" s="87"/>
      <c r="J22" s="226">
        <f>C24*(J24+R24)</f>
        <v>29.999999999999993</v>
      </c>
      <c r="K22" s="227"/>
      <c r="L22" s="66"/>
      <c r="M22" s="66"/>
      <c r="N22" s="87" t="s">
        <v>111</v>
      </c>
      <c r="O22" s="87"/>
      <c r="P22" s="87"/>
      <c r="Q22" s="87"/>
      <c r="R22" s="87"/>
      <c r="S22" s="87"/>
      <c r="T22" s="87"/>
      <c r="U22" s="87"/>
      <c r="V22" s="62">
        <f>ROUNDDOWN($J$22/'Parameter II'!$D$4,0)</f>
        <v>1</v>
      </c>
      <c r="W22" s="66"/>
      <c r="X22" s="66"/>
      <c r="Y22" s="66"/>
      <c r="Z22" s="66"/>
    </row>
    <row r="23" spans="1:26" x14ac:dyDescent="0.3">
      <c r="A23" s="73" t="s">
        <v>164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66"/>
      <c r="M23" s="67"/>
      <c r="N23" s="228" t="s">
        <v>127</v>
      </c>
      <c r="O23" s="228"/>
      <c r="P23" s="228"/>
      <c r="Q23" s="228"/>
      <c r="R23" s="228"/>
      <c r="S23" s="228"/>
      <c r="T23" s="228"/>
      <c r="U23" s="228"/>
      <c r="V23" s="228"/>
      <c r="W23" s="66"/>
      <c r="X23" s="66"/>
      <c r="Y23" s="66"/>
      <c r="Z23" s="66"/>
    </row>
    <row r="24" spans="1:26" x14ac:dyDescent="0.3">
      <c r="A24" s="75" t="s">
        <v>156</v>
      </c>
      <c r="B24" s="75"/>
      <c r="C24" s="224">
        <f>'Parameter II'!D2</f>
        <v>150</v>
      </c>
      <c r="D24" s="225"/>
      <c r="E24" s="76" t="s">
        <v>157</v>
      </c>
      <c r="F24" s="75" t="s">
        <v>123</v>
      </c>
      <c r="G24" s="75"/>
      <c r="H24" s="75"/>
      <c r="I24" s="75"/>
      <c r="J24" s="224">
        <f>VLOOKUP($Z$16,'Parameter II'!$A$9:$C$12,3,FALSE)</f>
        <v>0.7</v>
      </c>
      <c r="K24" s="225"/>
      <c r="L24" s="76" t="s">
        <v>158</v>
      </c>
      <c r="M24" s="75" t="s">
        <v>155</v>
      </c>
      <c r="N24" s="75"/>
      <c r="O24" s="75"/>
      <c r="P24" s="75"/>
      <c r="Q24" s="75"/>
      <c r="R24" s="224">
        <f>VLOOKUP(Z18,'Parameter II'!A17:E24,5,FALSE)</f>
        <v>-0.5</v>
      </c>
      <c r="S24" s="225"/>
      <c r="T24" s="77" t="s">
        <v>159</v>
      </c>
      <c r="U24" s="78"/>
      <c r="V24" s="67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79" t="s">
        <v>184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7" t="s">
        <v>110</v>
      </c>
      <c r="B28" s="87"/>
      <c r="C28" s="87"/>
      <c r="D28" s="87"/>
      <c r="E28" s="87"/>
      <c r="F28" s="87"/>
      <c r="G28" s="87"/>
      <c r="H28" s="87"/>
      <c r="I28" s="87"/>
      <c r="J28" s="87"/>
      <c r="K28" s="211">
        <f ca="1">SUM(L30:M35)</f>
        <v>-7.0000000000000007E-2</v>
      </c>
      <c r="L28" s="212"/>
      <c r="M28" s="213"/>
      <c r="N28" s="66"/>
      <c r="O28" s="66"/>
      <c r="P28" s="90" t="s">
        <v>340</v>
      </c>
      <c r="Q28" s="86"/>
      <c r="R28" s="86"/>
      <c r="S28" s="86"/>
      <c r="T28" s="66"/>
      <c r="U28" s="66"/>
      <c r="V28" s="66"/>
      <c r="W28" s="66"/>
      <c r="X28" s="66"/>
      <c r="Y28" s="66"/>
      <c r="Z28" s="66"/>
    </row>
    <row r="29" spans="1:26" x14ac:dyDescent="0.3">
      <c r="A29" s="89" t="s">
        <v>154</v>
      </c>
      <c r="B29" s="8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1" t="s">
        <v>339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x14ac:dyDescent="0.3">
      <c r="A30" s="86"/>
      <c r="B30" s="87" t="s">
        <v>156</v>
      </c>
      <c r="C30" s="87"/>
      <c r="D30" s="87"/>
      <c r="E30" s="87"/>
      <c r="F30" s="87"/>
      <c r="G30" s="87"/>
      <c r="H30" s="87"/>
      <c r="I30" s="87"/>
      <c r="J30" s="87"/>
      <c r="K30" s="88"/>
      <c r="L30" s="232">
        <f>'Parameter II'!$D$3</f>
        <v>0.02</v>
      </c>
      <c r="M30" s="153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6" t="s">
        <v>158</v>
      </c>
      <c r="B31" s="87" t="s">
        <v>160</v>
      </c>
      <c r="C31" s="87"/>
      <c r="D31" s="87"/>
      <c r="E31" s="87"/>
      <c r="F31" s="87"/>
      <c r="G31" s="87"/>
      <c r="H31" s="87"/>
      <c r="I31" s="87"/>
      <c r="J31" s="87"/>
      <c r="K31" s="88"/>
      <c r="L31" s="233">
        <f ca="1">VLOOKUP($Q$41,'Parameter II'!$A$28:$D$34,4,FALSE)</f>
        <v>-0.03</v>
      </c>
      <c r="M31" s="234"/>
      <c r="N31" s="67"/>
      <c r="O31" s="67"/>
      <c r="P31" s="87" t="s">
        <v>222</v>
      </c>
      <c r="Q31" s="92"/>
      <c r="R31" s="92"/>
      <c r="S31" s="93" t="s">
        <v>341</v>
      </c>
      <c r="T31" s="87"/>
      <c r="U31" s="88"/>
      <c r="V31" s="152">
        <f ca="1">SUMIF($I$128:$M$158,$P$31,$X$128:$X$158)</f>
        <v>6</v>
      </c>
      <c r="W31" s="153"/>
      <c r="X31" s="81"/>
      <c r="Y31" s="66"/>
      <c r="Z31" s="66"/>
    </row>
    <row r="32" spans="1:26" x14ac:dyDescent="0.3">
      <c r="A32" s="86" t="s">
        <v>158</v>
      </c>
      <c r="B32" s="87" t="s">
        <v>161</v>
      </c>
      <c r="C32" s="87"/>
      <c r="D32" s="87"/>
      <c r="E32" s="87"/>
      <c r="F32" s="87"/>
      <c r="G32" s="87"/>
      <c r="H32" s="87"/>
      <c r="I32" s="87"/>
      <c r="J32" s="87"/>
      <c r="K32" s="88"/>
      <c r="L32" s="235">
        <f>VLOOKUP($Z$17,'Parameter II'!$A$38:$D$49,4,FALSE)</f>
        <v>0.01</v>
      </c>
      <c r="M32" s="236"/>
      <c r="N32" s="67"/>
      <c r="O32" s="67"/>
      <c r="P32" s="87" t="s">
        <v>342</v>
      </c>
      <c r="Q32" s="92"/>
      <c r="R32" s="92"/>
      <c r="S32" s="93"/>
      <c r="T32" s="87"/>
      <c r="U32" s="88"/>
      <c r="V32" s="152">
        <f>V22*-1</f>
        <v>-1</v>
      </c>
      <c r="W32" s="153"/>
      <c r="X32" s="81"/>
      <c r="Y32" s="66"/>
      <c r="Z32" s="66"/>
    </row>
    <row r="33" spans="1:26" x14ac:dyDescent="0.3">
      <c r="A33" s="86" t="s">
        <v>158</v>
      </c>
      <c r="B33" s="87" t="s">
        <v>162</v>
      </c>
      <c r="C33" s="87"/>
      <c r="D33" s="87"/>
      <c r="E33" s="87"/>
      <c r="F33" s="87"/>
      <c r="G33" s="87"/>
      <c r="H33" s="87"/>
      <c r="I33" s="87"/>
      <c r="J33" s="87"/>
      <c r="K33" s="88"/>
      <c r="L33" s="235">
        <f>IFERROR(VLOOKUP($R$55,'Parameter II'!$A$53:$C$84,3,FALSE),IF($R$55&lt;-5,'Parameter II'!$C$53,'Parameter II'!$C$84))</f>
        <v>-0.03</v>
      </c>
      <c r="M33" s="236"/>
      <c r="N33" s="67"/>
      <c r="O33" s="67"/>
      <c r="P33" s="87" t="s">
        <v>392</v>
      </c>
      <c r="Q33" s="92"/>
      <c r="R33" s="92"/>
      <c r="S33" s="93"/>
      <c r="T33" s="87"/>
      <c r="U33" s="88"/>
      <c r="V33" s="156">
        <v>4</v>
      </c>
      <c r="W33" s="157"/>
      <c r="X33" s="81"/>
      <c r="Y33" s="66"/>
      <c r="Z33" s="66"/>
    </row>
    <row r="34" spans="1:26" x14ac:dyDescent="0.3">
      <c r="A34" s="86" t="s">
        <v>158</v>
      </c>
      <c r="B34" s="87" t="s">
        <v>155</v>
      </c>
      <c r="C34" s="87"/>
      <c r="D34" s="87"/>
      <c r="E34" s="87"/>
      <c r="F34" s="87"/>
      <c r="G34" s="87"/>
      <c r="H34" s="87"/>
      <c r="I34" s="87"/>
      <c r="J34" s="87"/>
      <c r="K34" s="88"/>
      <c r="L34" s="235">
        <f>VLOOKUP($Z$18,'Parameter II'!$A$17:$D$24,4,FALSE)</f>
        <v>-0.04</v>
      </c>
      <c r="M34" s="236"/>
      <c r="N34" s="67"/>
      <c r="O34" s="67"/>
      <c r="P34" s="94" t="s">
        <v>343</v>
      </c>
      <c r="Q34" s="95"/>
      <c r="R34" s="95"/>
      <c r="S34" s="96"/>
      <c r="T34" s="94"/>
      <c r="U34" s="97"/>
      <c r="V34" s="154">
        <f>V32+V33</f>
        <v>3</v>
      </c>
      <c r="W34" s="155"/>
      <c r="X34" s="81"/>
      <c r="Y34" s="66"/>
      <c r="Z34" s="66"/>
    </row>
    <row r="35" spans="1:26" x14ac:dyDescent="0.3">
      <c r="A35" s="86" t="s">
        <v>158</v>
      </c>
      <c r="B35" s="87" t="s">
        <v>165</v>
      </c>
      <c r="C35" s="87"/>
      <c r="D35" s="87"/>
      <c r="E35" s="87"/>
      <c r="F35" s="87"/>
      <c r="G35" s="87"/>
      <c r="H35" s="87"/>
      <c r="I35" s="87"/>
      <c r="J35" s="87"/>
      <c r="K35" s="88"/>
      <c r="L35" s="235">
        <f ca="1">SUMIF($G$165:$J$185,"Volk",$K$165:$L$185)+SUMIF($M$165:$P$185,"Volk",$Q$165:$R$185)</f>
        <v>0</v>
      </c>
      <c r="M35" s="236"/>
      <c r="N35" s="67"/>
      <c r="O35" s="67"/>
      <c r="P35" s="67"/>
      <c r="Q35" s="81"/>
      <c r="R35" s="81"/>
      <c r="S35" s="84"/>
      <c r="T35" s="67"/>
      <c r="U35" s="67"/>
      <c r="V35" s="67"/>
      <c r="W35" s="81"/>
      <c r="X35" s="81"/>
      <c r="Y35" s="66"/>
      <c r="Z35" s="66"/>
    </row>
    <row r="36" spans="1:26" x14ac:dyDescent="0.3">
      <c r="A36" s="67"/>
      <c r="B36" s="67"/>
      <c r="C36" s="82"/>
      <c r="D36" s="83"/>
      <c r="E36" s="84"/>
      <c r="F36" s="67"/>
      <c r="G36" s="67"/>
      <c r="H36" s="67"/>
      <c r="I36" s="67"/>
      <c r="J36" s="85"/>
      <c r="K36" s="85"/>
      <c r="L36" s="84"/>
      <c r="M36" s="67"/>
      <c r="N36" s="67"/>
      <c r="O36" s="67"/>
      <c r="P36" s="67"/>
      <c r="Q36" s="81"/>
      <c r="R36" s="81"/>
      <c r="S36" s="84"/>
      <c r="T36" s="67"/>
      <c r="U36" s="67"/>
      <c r="V36" s="67"/>
      <c r="W36" s="81"/>
      <c r="X36" s="81"/>
      <c r="Y36" s="66"/>
      <c r="Z36" s="66"/>
    </row>
    <row r="37" spans="1:26" x14ac:dyDescent="0.3">
      <c r="A37" s="87" t="s">
        <v>163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140">
        <f ca="1">ROUNDUP(J22*(100%+K28),0)</f>
        <v>28</v>
      </c>
      <c r="Q37" s="140"/>
      <c r="R37" s="84"/>
      <c r="S37" s="84"/>
      <c r="T37" s="67"/>
      <c r="U37" s="67"/>
      <c r="V37" s="67"/>
      <c r="W37" s="81"/>
      <c r="X37" s="81"/>
      <c r="Y37" s="66"/>
      <c r="Z37" s="66"/>
    </row>
    <row r="38" spans="1:26" x14ac:dyDescent="0.3">
      <c r="A38" s="67"/>
      <c r="B38" s="67"/>
      <c r="C38" s="82"/>
      <c r="D38" s="83"/>
      <c r="E38" s="84"/>
      <c r="F38" s="67"/>
      <c r="G38" s="67"/>
      <c r="H38" s="67"/>
      <c r="I38" s="67"/>
      <c r="J38" s="85"/>
      <c r="K38" s="85"/>
      <c r="L38" s="84"/>
      <c r="M38" s="67"/>
      <c r="N38" s="67"/>
      <c r="O38" s="67"/>
      <c r="P38" s="67"/>
      <c r="Q38" s="81"/>
      <c r="R38" s="81"/>
      <c r="S38" s="84"/>
      <c r="T38" s="67"/>
      <c r="U38" s="67"/>
      <c r="V38" s="67"/>
      <c r="W38" s="81"/>
      <c r="X38" s="81"/>
      <c r="Y38" s="66"/>
      <c r="Z38" s="66"/>
    </row>
    <row r="39" spans="1:26" x14ac:dyDescent="0.3">
      <c r="A39" s="79" t="s">
        <v>109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7" t="s">
        <v>166</v>
      </c>
      <c r="B41" s="87"/>
      <c r="C41" s="87"/>
      <c r="D41" s="87"/>
      <c r="E41" s="87"/>
      <c r="F41" s="87"/>
      <c r="G41" s="87"/>
      <c r="H41" s="87"/>
      <c r="I41" s="87"/>
      <c r="J41" s="152">
        <f ca="1">SUM(J43:K48)</f>
        <v>11</v>
      </c>
      <c r="K41" s="153"/>
      <c r="L41" s="66"/>
      <c r="M41" s="66"/>
      <c r="N41" s="66"/>
      <c r="O41" s="87" t="s">
        <v>128</v>
      </c>
      <c r="P41" s="87"/>
      <c r="Q41" s="64">
        <f ca="1">IFERROR(VLOOKUP($J$41+$D$47,'Parameter II'!$F$28:$H$98,2,FALSE),IF((J43+D47)&gt;0,0,6))</f>
        <v>1</v>
      </c>
      <c r="R41" s="99" t="s">
        <v>167</v>
      </c>
      <c r="S41" s="86" t="str">
        <f ca="1">VLOOKUP(Q41,'Parameter II'!$G$28:$H$98,2,FALSE)</f>
        <v>feindselig</v>
      </c>
      <c r="T41" s="86"/>
      <c r="U41" s="86"/>
      <c r="V41" s="86"/>
      <c r="W41" s="86"/>
      <c r="X41" s="86"/>
      <c r="Y41" s="86"/>
      <c r="Z41" s="66"/>
    </row>
    <row r="42" spans="1:26" x14ac:dyDescent="0.3">
      <c r="A42" s="89" t="s">
        <v>154</v>
      </c>
      <c r="B42" s="8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6"/>
      <c r="B43" s="87" t="s">
        <v>129</v>
      </c>
      <c r="C43" s="87"/>
      <c r="D43" s="87"/>
      <c r="E43" s="87"/>
      <c r="F43" s="87"/>
      <c r="G43" s="98"/>
      <c r="H43" s="87"/>
      <c r="I43" s="87"/>
      <c r="J43" s="152">
        <f>VLOOKUP($H$3,Parameter!$A:$P,16,FALSE)</f>
        <v>15</v>
      </c>
      <c r="K43" s="153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99" t="s">
        <v>158</v>
      </c>
      <c r="B44" s="87" t="s">
        <v>162</v>
      </c>
      <c r="C44" s="87"/>
      <c r="D44" s="87"/>
      <c r="E44" s="87"/>
      <c r="F44" s="87"/>
      <c r="G44" s="98"/>
      <c r="H44" s="87"/>
      <c r="I44" s="87"/>
      <c r="J44" s="152">
        <f>IF(R55&gt;26,VLOOKUP(26,'Parameter II'!A53:D84,4,FALSE),
IF(R55&lt;-5,VLOOKUP(-5,'Parameter II'!A53:D84,4,FALSE),
VLOOKUP(R55,'Parameter II'!A53:D84,4,FALSE)))</f>
        <v>-4</v>
      </c>
      <c r="K44" s="153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99" t="s">
        <v>158</v>
      </c>
      <c r="B45" s="87" t="s">
        <v>165</v>
      </c>
      <c r="C45" s="87"/>
      <c r="D45" s="87"/>
      <c r="E45" s="87"/>
      <c r="F45" s="87"/>
      <c r="G45" s="98"/>
      <c r="H45" s="87"/>
      <c r="I45" s="87"/>
      <c r="J45" s="152">
        <f ca="1">SUMIF($G$165:$J$185,"Stimmung",$K$165:$L$185)+SUMIF($M$165:$P$185,"Stimmung",$Q$165:$R$185)</f>
        <v>0</v>
      </c>
      <c r="K45" s="153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99" t="s">
        <v>158</v>
      </c>
      <c r="B46" s="87" t="s">
        <v>168</v>
      </c>
      <c r="C46" s="87"/>
      <c r="D46" s="87"/>
      <c r="E46" s="87"/>
      <c r="F46" s="87"/>
      <c r="G46" s="98"/>
      <c r="H46" s="87"/>
      <c r="I46" s="87"/>
      <c r="J46" s="152">
        <f>V34</f>
        <v>3</v>
      </c>
      <c r="K46" s="153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99" t="s">
        <v>158</v>
      </c>
      <c r="B47" s="87" t="s">
        <v>169</v>
      </c>
      <c r="C47" s="87"/>
      <c r="D47" s="87"/>
      <c r="E47" s="87"/>
      <c r="F47" s="87"/>
      <c r="G47" s="98"/>
      <c r="H47" s="87"/>
      <c r="I47" s="87"/>
      <c r="J47" s="152">
        <f ca="1">SUMIF($I$128:$M$158,$P$31,$AB$128:$AB$158)-1</f>
        <v>0</v>
      </c>
      <c r="K47" s="153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6" t="s">
        <v>158</v>
      </c>
      <c r="B48" s="87" t="s">
        <v>118</v>
      </c>
      <c r="C48" s="87"/>
      <c r="D48" s="87"/>
      <c r="E48" s="87"/>
      <c r="F48" s="87"/>
      <c r="G48" s="98"/>
      <c r="H48" s="87"/>
      <c r="I48" s="87"/>
      <c r="J48" s="152">
        <f>VLOOKUP($Z$18,'Parameter II'!$A$17:$F$24,6,FALSE)</f>
        <v>-3</v>
      </c>
      <c r="K48" s="153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1" t="s">
        <v>133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79" t="s">
        <v>239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6" t="s">
        <v>173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156">
        <v>7</v>
      </c>
      <c r="S55" s="157"/>
      <c r="T55" s="86" t="s">
        <v>172</v>
      </c>
      <c r="U55" s="86"/>
      <c r="V55" s="86"/>
      <c r="W55" s="66"/>
      <c r="X55" s="66"/>
      <c r="Y55" s="66"/>
      <c r="Z55" s="66"/>
    </row>
    <row r="56" spans="1:26" x14ac:dyDescent="0.3">
      <c r="A56" s="86" t="s">
        <v>149</v>
      </c>
      <c r="B56" s="86"/>
      <c r="C56" s="86"/>
      <c r="D56" s="86"/>
      <c r="E56" s="86"/>
      <c r="F56" s="86"/>
      <c r="G56" s="86"/>
      <c r="H56" s="86"/>
      <c r="I56" s="86"/>
      <c r="J56" s="86"/>
      <c r="K56" s="100"/>
      <c r="L56" s="100"/>
      <c r="M56" s="86"/>
      <c r="N56" s="86"/>
      <c r="O56" s="86"/>
      <c r="P56" s="86"/>
      <c r="Q56" s="86"/>
      <c r="R56" s="86" t="str">
        <f>IF(R55&gt;26,VLOOKUP(26,'Parameter II'!$A$53:$C$84,2,FALSE),
IF(R55&lt;-5,VLOOKUP(-5,'Parameter II'!$A$53:$C$84,2,FALSE),
VLOOKUP($R$55,'Parameter II'!$A$53:$C$84,2,FALSE)))</f>
        <v>hohe Steuern</v>
      </c>
      <c r="S56" s="86"/>
      <c r="T56" s="86"/>
      <c r="U56" s="86"/>
      <c r="V56" s="86"/>
      <c r="W56" s="86"/>
      <c r="X56" s="86"/>
      <c r="Y56" s="86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6" t="s">
        <v>170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140">
        <f>J22*R55</f>
        <v>209.99999999999994</v>
      </c>
      <c r="W58" s="140"/>
      <c r="X58" s="140"/>
      <c r="Y58" s="86" t="s">
        <v>178</v>
      </c>
      <c r="Z58" s="86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79" t="s">
        <v>240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6" t="s">
        <v>171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209">
        <v>1</v>
      </c>
      <c r="S62" s="210"/>
      <c r="T62" s="86" t="s">
        <v>172</v>
      </c>
      <c r="U62" s="86"/>
      <c r="V62" s="86"/>
      <c r="W62" s="66"/>
      <c r="X62" s="66"/>
      <c r="Y62" s="66"/>
      <c r="Z62" s="66"/>
    </row>
    <row r="63" spans="1:26" x14ac:dyDescent="0.3">
      <c r="A63" s="86" t="s">
        <v>176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156"/>
      <c r="S63" s="157"/>
      <c r="T63" s="86" t="s">
        <v>175</v>
      </c>
      <c r="U63" s="86"/>
      <c r="V63" s="86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6" t="s">
        <v>174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40">
        <f>R62*R63</f>
        <v>0</v>
      </c>
      <c r="W65" s="140"/>
      <c r="X65" s="140"/>
      <c r="Y65" s="86" t="s">
        <v>178</v>
      </c>
      <c r="Z65" s="86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4" t="s">
        <v>177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101"/>
      <c r="V67" s="229">
        <f>V58+V65</f>
        <v>209.99999999999994</v>
      </c>
      <c r="W67" s="230"/>
      <c r="X67" s="231"/>
      <c r="Y67" s="86" t="s">
        <v>178</v>
      </c>
      <c r="Z67" s="86"/>
    </row>
    <row r="68" spans="1:33" ht="17.25" thickBot="1" x14ac:dyDescent="0.35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211">
        <f>IF($V$67&lt;='Parameter II'!$B$87,'Parameter II'!$C$87,
IF($V$67&lt;='Parameter II'!$B$88,'Parameter II'!$C$88,
IF($V$67&lt;='Parameter II'!$B$89,'Parameter II'!$C$89,
IF($V$67&lt;='Parameter II'!$B$90,'Parameter II'!$C$90,'Parameter II'!$C$91))))</f>
        <v>0.1</v>
      </c>
      <c r="L68" s="212"/>
      <c r="M68" s="213"/>
      <c r="N68" s="86" t="s">
        <v>182</v>
      </c>
      <c r="O68" s="86"/>
      <c r="P68" s="86"/>
      <c r="Q68" s="86"/>
      <c r="R68" s="86"/>
      <c r="S68" s="86"/>
      <c r="T68" s="86"/>
      <c r="U68" s="86"/>
      <c r="V68" s="214">
        <f>ROUND(V67*-K68,0)</f>
        <v>-21</v>
      </c>
      <c r="W68" s="215"/>
      <c r="X68" s="216"/>
      <c r="Y68" s="86" t="s">
        <v>178</v>
      </c>
      <c r="Z68" s="86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4" t="s">
        <v>183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101"/>
      <c r="V70" s="217">
        <f>SUM(V67:X68)</f>
        <v>188.99999999999994</v>
      </c>
      <c r="W70" s="218"/>
      <c r="X70" s="219"/>
      <c r="Y70" s="86" t="s">
        <v>178</v>
      </c>
      <c r="Z70" s="86"/>
    </row>
    <row r="71" spans="1:33" ht="6.75" customHeight="1" x14ac:dyDescent="0.3">
      <c r="A71" s="11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83"/>
      <c r="W71" s="83"/>
      <c r="X71" s="83"/>
      <c r="Y71" s="66"/>
      <c r="Z71" s="66"/>
    </row>
    <row r="72" spans="1:33" x14ac:dyDescent="0.3">
      <c r="A72" s="102" t="s">
        <v>328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3"/>
      <c r="Q72" s="103"/>
      <c r="R72" s="103"/>
      <c r="S72" s="103"/>
      <c r="T72" s="103"/>
      <c r="U72" s="103"/>
      <c r="V72" s="156"/>
      <c r="W72" s="169"/>
      <c r="X72" s="157"/>
      <c r="Y72" s="86" t="s">
        <v>178</v>
      </c>
      <c r="Z72" s="86"/>
    </row>
    <row r="73" spans="1:33" x14ac:dyDescent="0.3">
      <c r="A73" s="102" t="s">
        <v>329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3"/>
      <c r="Q73" s="103"/>
      <c r="R73" s="103"/>
      <c r="S73" s="103"/>
      <c r="T73" s="103"/>
      <c r="U73" s="103"/>
      <c r="V73" s="152">
        <f>Q121*-1</f>
        <v>0</v>
      </c>
      <c r="W73" s="170"/>
      <c r="X73" s="153"/>
      <c r="Y73" s="86" t="s">
        <v>178</v>
      </c>
      <c r="Z73" s="86"/>
    </row>
    <row r="74" spans="1:33" x14ac:dyDescent="0.3">
      <c r="A74" s="102" t="s">
        <v>330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3"/>
      <c r="Q74" s="103"/>
      <c r="R74" s="103"/>
      <c r="S74" s="103"/>
      <c r="T74" s="103"/>
      <c r="U74" s="103"/>
      <c r="V74" s="152">
        <f>Y186*-1</f>
        <v>0</v>
      </c>
      <c r="W74" s="170"/>
      <c r="X74" s="153"/>
      <c r="Y74" s="86" t="s">
        <v>178</v>
      </c>
      <c r="Z74" s="86"/>
    </row>
    <row r="75" spans="1:33" x14ac:dyDescent="0.3">
      <c r="A75" s="102" t="s">
        <v>331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71"/>
      <c r="W75" s="172"/>
      <c r="X75" s="173"/>
      <c r="Y75" s="86" t="s">
        <v>178</v>
      </c>
      <c r="Z75" s="86"/>
    </row>
    <row r="76" spans="1:33" ht="6" customHeight="1" thickBot="1" x14ac:dyDescent="0.35">
      <c r="A76" s="11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83"/>
      <c r="W76" s="83"/>
      <c r="X76" s="83"/>
      <c r="Y76" s="66"/>
      <c r="Z76" s="66"/>
    </row>
    <row r="77" spans="1:33" ht="17.25" thickBot="1" x14ac:dyDescent="0.35">
      <c r="A77" s="104" t="s">
        <v>332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74">
        <f>SUM(V70:X75)</f>
        <v>188.99999999999994</v>
      </c>
      <c r="W77" s="175"/>
      <c r="X77" s="176"/>
      <c r="Y77" s="86" t="s">
        <v>178</v>
      </c>
      <c r="Z77" s="86"/>
    </row>
    <row r="78" spans="1:33" ht="17.25" thickTop="1" x14ac:dyDescent="0.3">
      <c r="A78" s="11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83"/>
      <c r="W78" s="83"/>
      <c r="X78" s="83"/>
      <c r="Y78" s="66"/>
      <c r="Z78" s="66"/>
    </row>
    <row r="79" spans="1:33" x14ac:dyDescent="0.3">
      <c r="A79" s="106" t="s">
        <v>333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52">
        <v>0</v>
      </c>
      <c r="W79" s="170"/>
      <c r="X79" s="153"/>
      <c r="Y79" s="86" t="s">
        <v>178</v>
      </c>
      <c r="Z79" s="86"/>
      <c r="AG79" s="29"/>
    </row>
    <row r="80" spans="1:33" ht="17.25" thickBot="1" x14ac:dyDescent="0.35">
      <c r="A80" s="107" t="s">
        <v>334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220">
        <f>V77</f>
        <v>188.99999999999994</v>
      </c>
      <c r="W80" s="221"/>
      <c r="X80" s="222"/>
      <c r="Y80" s="86" t="s">
        <v>178</v>
      </c>
      <c r="Z80" s="86"/>
    </row>
    <row r="81" spans="1:26" ht="17.25" thickBot="1" x14ac:dyDescent="0.35">
      <c r="A81" s="104" t="s">
        <v>335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217">
        <f>V79+V80</f>
        <v>188.99999999999994</v>
      </c>
      <c r="W81" s="218"/>
      <c r="X81" s="219"/>
      <c r="Y81" s="86" t="s">
        <v>178</v>
      </c>
      <c r="Z81" s="86"/>
    </row>
    <row r="82" spans="1:26" ht="17.25" thickTop="1" x14ac:dyDescent="0.3">
      <c r="A82" s="11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83"/>
      <c r="W82" s="83"/>
      <c r="X82" s="83"/>
      <c r="Y82" s="66"/>
      <c r="Z82" s="66"/>
    </row>
    <row r="83" spans="1:26" x14ac:dyDescent="0.3">
      <c r="A83" s="71" t="s">
        <v>255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x14ac:dyDescent="0.3">
      <c r="A84" s="11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x14ac:dyDescent="0.3">
      <c r="A85" s="79" t="s">
        <v>322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205" t="s">
        <v>241</v>
      </c>
      <c r="B87" s="205" t="s">
        <v>242</v>
      </c>
      <c r="C87" s="205"/>
      <c r="D87" s="205"/>
      <c r="E87" s="205"/>
      <c r="F87" s="205"/>
      <c r="G87" s="205"/>
      <c r="H87" s="205"/>
      <c r="I87" s="205"/>
      <c r="J87" s="205" t="s">
        <v>187</v>
      </c>
      <c r="K87" s="205"/>
      <c r="L87" s="205"/>
      <c r="M87" s="205"/>
      <c r="N87" s="205"/>
      <c r="O87" s="205"/>
      <c r="P87" s="205"/>
      <c r="Q87" s="205"/>
      <c r="R87" s="205"/>
      <c r="S87" s="207" t="s">
        <v>254</v>
      </c>
      <c r="T87" s="207"/>
      <c r="U87" s="207" t="s">
        <v>256</v>
      </c>
      <c r="V87" s="207"/>
      <c r="W87" s="207" t="s">
        <v>257</v>
      </c>
      <c r="X87" s="207"/>
      <c r="Y87" s="207" t="s">
        <v>255</v>
      </c>
      <c r="Z87" s="207"/>
    </row>
    <row r="88" spans="1:26" x14ac:dyDescent="0.3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7"/>
      <c r="T88" s="207"/>
      <c r="U88" s="207"/>
      <c r="V88" s="207"/>
      <c r="W88" s="207"/>
      <c r="X88" s="207"/>
      <c r="Y88" s="207"/>
      <c r="Z88" s="207"/>
    </row>
    <row r="89" spans="1:26" ht="16.5" customHeight="1" x14ac:dyDescent="0.3">
      <c r="A89" s="115">
        <v>1</v>
      </c>
      <c r="B89" s="114">
        <f>VLOOKUP(Lehensbogen!H3,Parameter!A:F,6,FALSE)</f>
        <v>1</v>
      </c>
      <c r="C89" s="206" t="str">
        <f>IFERROR(VLOOKUP($Z$16&amp;$B89,Produktion!$A:$F,2,FALSE),"")</f>
        <v>Köhlerei</v>
      </c>
      <c r="D89" s="206"/>
      <c r="E89" s="206"/>
      <c r="F89" s="206"/>
      <c r="G89" s="206"/>
      <c r="H89" s="206"/>
      <c r="I89" s="206"/>
      <c r="J89" s="206" t="str">
        <f>IFERROR(VLOOKUP($Z$16&amp;$B89,Produktion!$A:$F,3,FALSE),"")</f>
        <v>Kohle</v>
      </c>
      <c r="K89" s="206"/>
      <c r="L89" s="206"/>
      <c r="M89" s="206"/>
      <c r="N89" s="206"/>
      <c r="O89" s="206"/>
      <c r="P89" s="206"/>
      <c r="Q89" s="206"/>
      <c r="R89" s="206"/>
      <c r="S89" s="163">
        <f ca="1">IFERROR(VLOOKUP($Z$16&amp;$B89,Produktion!$A:$F,5,FALSE)+SUMIF($G$165:$J$185,$J89,$K$165:$L$185),"")</f>
        <v>6</v>
      </c>
      <c r="T89" s="163"/>
      <c r="U89" s="163">
        <f>IFERROR(VLOOKUP($Z$16&amp;$B89,Produktion!$A:$F,6,FALSE),"")</f>
        <v>5</v>
      </c>
      <c r="V89" s="163"/>
      <c r="W89" s="208">
        <v>5</v>
      </c>
      <c r="X89" s="208"/>
      <c r="Y89" s="163">
        <f ca="1">IFERROR(S89*W89,"")</f>
        <v>30</v>
      </c>
      <c r="Z89" s="163"/>
    </row>
    <row r="90" spans="1:26" x14ac:dyDescent="0.3">
      <c r="A90" s="115">
        <v>2</v>
      </c>
      <c r="B90" s="114"/>
      <c r="C90" s="206" t="str">
        <f>IFERROR(VLOOKUP($Z$16&amp;$B90,Produktion!$A:$F,2,FALSE),"")</f>
        <v/>
      </c>
      <c r="D90" s="206"/>
      <c r="E90" s="206"/>
      <c r="F90" s="206"/>
      <c r="G90" s="206"/>
      <c r="H90" s="206"/>
      <c r="I90" s="206"/>
      <c r="J90" s="206" t="str">
        <f>IFERROR(VLOOKUP($Z$16&amp;$B90,Produktion!$A:$F,3,FALSE),"")</f>
        <v/>
      </c>
      <c r="K90" s="206"/>
      <c r="L90" s="206"/>
      <c r="M90" s="206"/>
      <c r="N90" s="206"/>
      <c r="O90" s="206"/>
      <c r="P90" s="206"/>
      <c r="Q90" s="206"/>
      <c r="R90" s="206"/>
      <c r="S90" s="163" t="str">
        <f ca="1">IFERROR(VLOOKUP($Z$16&amp;$B90,Produktion!$A:$F,5,FALSE)+SUMIF($G$165:$J$185,$J90,$K$165:$L$185),"")</f>
        <v/>
      </c>
      <c r="T90" s="163"/>
      <c r="U90" s="163" t="str">
        <f>IFERROR(VLOOKUP($Z$16&amp;$B90,Produktion!$A:$F,6,FALSE),"")</f>
        <v/>
      </c>
      <c r="V90" s="163"/>
      <c r="W90" s="208"/>
      <c r="X90" s="208"/>
      <c r="Y90" s="163" t="str">
        <f t="shared" ref="Y90:Y94" ca="1" si="0">IFERROR(S90*W90,"")</f>
        <v/>
      </c>
      <c r="Z90" s="163"/>
    </row>
    <row r="91" spans="1:26" x14ac:dyDescent="0.3">
      <c r="A91" s="115">
        <v>3</v>
      </c>
      <c r="B91" s="114"/>
      <c r="C91" s="206" t="str">
        <f>IFERROR(VLOOKUP($Z$16&amp;$B91,Produktion!$A:$F,2,FALSE),"")</f>
        <v/>
      </c>
      <c r="D91" s="206"/>
      <c r="E91" s="206"/>
      <c r="F91" s="206"/>
      <c r="G91" s="206"/>
      <c r="H91" s="206"/>
      <c r="I91" s="206"/>
      <c r="J91" s="206" t="str">
        <f>IFERROR(VLOOKUP($Z$16&amp;$B91,Produktion!$A:$F,3,FALSE),"")</f>
        <v/>
      </c>
      <c r="K91" s="206"/>
      <c r="L91" s="206"/>
      <c r="M91" s="206"/>
      <c r="N91" s="206"/>
      <c r="O91" s="206"/>
      <c r="P91" s="206"/>
      <c r="Q91" s="206"/>
      <c r="R91" s="206"/>
      <c r="S91" s="163" t="str">
        <f ca="1">IFERROR(VLOOKUP($Z$16&amp;$B91,Produktion!$A:$F,5,FALSE)+SUMIF($G$165:$J$185,$J91,$K$165:$L$185),"")</f>
        <v/>
      </c>
      <c r="T91" s="163"/>
      <c r="U91" s="163" t="str">
        <f>IFERROR(VLOOKUP($Z$16&amp;$B91,Produktion!$A:$F,6,FALSE),"")</f>
        <v/>
      </c>
      <c r="V91" s="163"/>
      <c r="W91" s="208"/>
      <c r="X91" s="208"/>
      <c r="Y91" s="163" t="str">
        <f t="shared" ca="1" si="0"/>
        <v/>
      </c>
      <c r="Z91" s="163"/>
    </row>
    <row r="92" spans="1:26" x14ac:dyDescent="0.3">
      <c r="A92" s="115">
        <v>4</v>
      </c>
      <c r="B92" s="114"/>
      <c r="C92" s="206" t="str">
        <f>IFERROR(VLOOKUP($Z$16&amp;$B92,Produktion!$A:$F,2,FALSE),"")</f>
        <v/>
      </c>
      <c r="D92" s="206"/>
      <c r="E92" s="206"/>
      <c r="F92" s="206"/>
      <c r="G92" s="206"/>
      <c r="H92" s="206"/>
      <c r="I92" s="206"/>
      <c r="J92" s="206" t="str">
        <f>IFERROR(VLOOKUP($Z$16&amp;$B92,Produktion!$A:$F,3,FALSE),"")</f>
        <v/>
      </c>
      <c r="K92" s="206"/>
      <c r="L92" s="206"/>
      <c r="M92" s="206"/>
      <c r="N92" s="206"/>
      <c r="O92" s="206"/>
      <c r="P92" s="206"/>
      <c r="Q92" s="206"/>
      <c r="R92" s="206"/>
      <c r="S92" s="163" t="str">
        <f ca="1">IFERROR(VLOOKUP($Z$16&amp;$B92,Produktion!$A:$F,5,FALSE)+SUMIF($G$165:$J$185,$J92,$K$165:$L$185),"")</f>
        <v/>
      </c>
      <c r="T92" s="163"/>
      <c r="U92" s="163" t="str">
        <f>IFERROR(VLOOKUP($Z$16&amp;$B92,Produktion!$A:$F,6,FALSE),"")</f>
        <v/>
      </c>
      <c r="V92" s="163"/>
      <c r="W92" s="208"/>
      <c r="X92" s="208"/>
      <c r="Y92" s="163" t="str">
        <f t="shared" ca="1" si="0"/>
        <v/>
      </c>
      <c r="Z92" s="163"/>
    </row>
    <row r="93" spans="1:26" x14ac:dyDescent="0.3">
      <c r="A93" s="115">
        <v>5</v>
      </c>
      <c r="B93" s="114"/>
      <c r="C93" s="206" t="str">
        <f>IFERROR(VLOOKUP($Z$16&amp;$B93,Produktion!$A:$F,2,FALSE),"")</f>
        <v/>
      </c>
      <c r="D93" s="206"/>
      <c r="E93" s="206"/>
      <c r="F93" s="206"/>
      <c r="G93" s="206"/>
      <c r="H93" s="206"/>
      <c r="I93" s="206"/>
      <c r="J93" s="206" t="str">
        <f>IFERROR(VLOOKUP($Z$16&amp;$B93,Produktion!$A:$F,3,FALSE),"")</f>
        <v/>
      </c>
      <c r="K93" s="206"/>
      <c r="L93" s="206"/>
      <c r="M93" s="206"/>
      <c r="N93" s="206"/>
      <c r="O93" s="206"/>
      <c r="P93" s="206"/>
      <c r="Q93" s="206"/>
      <c r="R93" s="206"/>
      <c r="S93" s="163" t="str">
        <f ca="1">IFERROR(VLOOKUP($Z$16&amp;$B93,Produktion!$A:$F,5,FALSE)+SUMIF($G$165:$J$185,$J93,$K$165:$L$185),"")</f>
        <v/>
      </c>
      <c r="T93" s="163"/>
      <c r="U93" s="163" t="str">
        <f>IFERROR(VLOOKUP($Z$16&amp;$B93,Produktion!$A:$F,6,FALSE),"")</f>
        <v/>
      </c>
      <c r="V93" s="163"/>
      <c r="W93" s="208"/>
      <c r="X93" s="208"/>
      <c r="Y93" s="163" t="str">
        <f t="shared" ca="1" si="0"/>
        <v/>
      </c>
      <c r="Z93" s="163"/>
    </row>
    <row r="94" spans="1:26" x14ac:dyDescent="0.3">
      <c r="A94" s="115">
        <v>6</v>
      </c>
      <c r="B94" s="114"/>
      <c r="C94" s="206" t="str">
        <f>IFERROR(VLOOKUP($Z$16&amp;$B94,Produktion!$A:$F,2,FALSE),"")</f>
        <v/>
      </c>
      <c r="D94" s="206"/>
      <c r="E94" s="206"/>
      <c r="F94" s="206"/>
      <c r="G94" s="206"/>
      <c r="H94" s="206"/>
      <c r="I94" s="206"/>
      <c r="J94" s="206" t="str">
        <f>IFERROR(VLOOKUP($Z$16&amp;$B94,Produktion!$A:$F,3,FALSE),"")</f>
        <v/>
      </c>
      <c r="K94" s="206"/>
      <c r="L94" s="206"/>
      <c r="M94" s="206"/>
      <c r="N94" s="206"/>
      <c r="O94" s="206"/>
      <c r="P94" s="206"/>
      <c r="Q94" s="206"/>
      <c r="R94" s="206"/>
      <c r="S94" s="163" t="str">
        <f ca="1">IFERROR(VLOOKUP($Z$16&amp;$B94,Produktion!$A:$F,5,FALSE)+SUMIF($G$165:$J$185,$J94,$K$165:$L$185),"")</f>
        <v/>
      </c>
      <c r="T94" s="163"/>
      <c r="U94" s="163" t="str">
        <f>IFERROR(VLOOKUP($Z$16&amp;$B94,Produktion!$A:$F,6,FALSE),"")</f>
        <v/>
      </c>
      <c r="V94" s="163"/>
      <c r="W94" s="208"/>
      <c r="X94" s="208"/>
      <c r="Y94" s="163" t="str">
        <f t="shared" ca="1" si="0"/>
        <v/>
      </c>
      <c r="Z94" s="163"/>
    </row>
    <row r="95" spans="1:26" x14ac:dyDescent="0.3">
      <c r="A95" s="111" t="s">
        <v>258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33" x14ac:dyDescent="0.3">
      <c r="A97" s="79" t="s">
        <v>272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33" x14ac:dyDescent="0.3">
      <c r="A99" s="177" t="s">
        <v>5</v>
      </c>
      <c r="B99" s="178"/>
      <c r="C99" s="178"/>
      <c r="D99" s="178"/>
      <c r="E99" s="179"/>
      <c r="F99" s="177" t="s">
        <v>187</v>
      </c>
      <c r="G99" s="178"/>
      <c r="H99" s="178"/>
      <c r="I99" s="178"/>
      <c r="J99" s="179"/>
      <c r="K99" s="183" t="s">
        <v>318</v>
      </c>
      <c r="L99" s="184"/>
      <c r="M99" s="184"/>
      <c r="N99" s="184"/>
      <c r="O99" s="184"/>
      <c r="P99" s="185"/>
      <c r="Q99" s="144" t="s">
        <v>327</v>
      </c>
      <c r="R99" s="144"/>
      <c r="S99" s="144" t="s">
        <v>254</v>
      </c>
      <c r="T99" s="144"/>
      <c r="U99" s="144" t="s">
        <v>256</v>
      </c>
      <c r="V99" s="144"/>
      <c r="W99" s="144" t="s">
        <v>257</v>
      </c>
      <c r="X99" s="144"/>
      <c r="Y99" s="144" t="s">
        <v>255</v>
      </c>
      <c r="Z99" s="144"/>
    </row>
    <row r="100" spans="1:33" x14ac:dyDescent="0.3">
      <c r="A100" s="180"/>
      <c r="B100" s="181"/>
      <c r="C100" s="181"/>
      <c r="D100" s="181"/>
      <c r="E100" s="182"/>
      <c r="F100" s="180"/>
      <c r="G100" s="181"/>
      <c r="H100" s="181"/>
      <c r="I100" s="181"/>
      <c r="J100" s="182"/>
      <c r="K100" s="183" t="s">
        <v>324</v>
      </c>
      <c r="L100" s="185"/>
      <c r="M100" s="54" t="s">
        <v>323</v>
      </c>
      <c r="N100" s="183" t="s">
        <v>326</v>
      </c>
      <c r="O100" s="185"/>
      <c r="P100" s="54" t="s">
        <v>325</v>
      </c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</row>
    <row r="101" spans="1:33" x14ac:dyDescent="0.3">
      <c r="A101" s="164"/>
      <c r="B101" s="164"/>
      <c r="C101" s="164"/>
      <c r="D101" s="164"/>
      <c r="E101" s="164"/>
      <c r="F101" s="165" t="str">
        <f>IFERROR(VLOOKUP($A101,Handelwaren!$B:$K,2,FALSE),"")</f>
        <v/>
      </c>
      <c r="G101" s="165"/>
      <c r="H101" s="165"/>
      <c r="I101" s="165"/>
      <c r="J101" s="165"/>
      <c r="K101" s="166" t="str">
        <f>IFERROR(VLOOKUP($A101,Handelwaren!$B:$K,7,FALSE),"")</f>
        <v/>
      </c>
      <c r="L101" s="167"/>
      <c r="M101" s="65" t="str">
        <f>IFERROR(VLOOKUP($A101,Handelwaren!$B:$K,6,FALSE),"")</f>
        <v/>
      </c>
      <c r="N101" s="166" t="str">
        <f>IFERROR(VLOOKUP($A101,Handelwaren!$B:$K,9,FALSE),"")</f>
        <v/>
      </c>
      <c r="O101" s="167"/>
      <c r="P101" s="65" t="str">
        <f>IFERROR(VLOOKUP($A101,Handelwaren!$B:$K,8,FALSE),"")</f>
        <v/>
      </c>
      <c r="Q101" s="165" t="str">
        <f>IFERROR(VLOOKUP($A101,Handelwaren!$B:$K,10,FALSE),"")</f>
        <v/>
      </c>
      <c r="R101" s="165"/>
      <c r="S101" s="161" t="str">
        <f>IFERROR(VLOOKUP($A101,Handelwaren!$B:$K,4,FALSE),"")</f>
        <v/>
      </c>
      <c r="T101" s="161"/>
      <c r="U101" s="161" t="str">
        <f>IFERROR(VLOOKUP($A101,Handelwaren!$B:$K,5,FALSE),"")</f>
        <v/>
      </c>
      <c r="V101" s="161"/>
      <c r="W101" s="162"/>
      <c r="X101" s="162"/>
      <c r="Y101" s="163" t="str">
        <f>IFERROR(S101*W101,"")</f>
        <v/>
      </c>
      <c r="Z101" s="163"/>
    </row>
    <row r="102" spans="1:33" x14ac:dyDescent="0.3">
      <c r="A102" s="164"/>
      <c r="B102" s="164"/>
      <c r="C102" s="164"/>
      <c r="D102" s="164"/>
      <c r="E102" s="164"/>
      <c r="F102" s="165" t="str">
        <f>IFERROR(VLOOKUP($A102,Handelwaren!$B:$K,2,FALSE),"")</f>
        <v/>
      </c>
      <c r="G102" s="165"/>
      <c r="H102" s="165"/>
      <c r="I102" s="165"/>
      <c r="J102" s="165"/>
      <c r="K102" s="166" t="str">
        <f>IFERROR(VLOOKUP($A102,Handelwaren!$B:$K,7,FALSE),"")</f>
        <v/>
      </c>
      <c r="L102" s="167"/>
      <c r="M102" s="65" t="str">
        <f>IFERROR(VLOOKUP($A102,Handelwaren!$B:$K,6,FALSE),"")</f>
        <v/>
      </c>
      <c r="N102" s="166" t="str">
        <f>IFERROR(VLOOKUP($A102,Handelwaren!$B:$K,9,FALSE),"")</f>
        <v/>
      </c>
      <c r="O102" s="167"/>
      <c r="P102" s="65" t="str">
        <f>IFERROR(VLOOKUP($A102,Handelwaren!$B:$K,8,FALSE),"")</f>
        <v/>
      </c>
      <c r="Q102" s="165" t="str">
        <f>IFERROR(VLOOKUP($A102,Handelwaren!$B:$K,10,FALSE),"")</f>
        <v/>
      </c>
      <c r="R102" s="165"/>
      <c r="S102" s="161" t="str">
        <f>IFERROR(VLOOKUP($A102,Handelwaren!$B:$K,4,FALSE),"")</f>
        <v/>
      </c>
      <c r="T102" s="161"/>
      <c r="U102" s="161" t="str">
        <f>IFERROR(VLOOKUP($A102,Handelwaren!$B:$K,5,FALSE),"")</f>
        <v/>
      </c>
      <c r="V102" s="161"/>
      <c r="W102" s="162"/>
      <c r="X102" s="162"/>
      <c r="Y102" s="163" t="str">
        <f t="shared" ref="Y102:Y120" si="1">IFERROR(S102*W102,"")</f>
        <v/>
      </c>
      <c r="Z102" s="163"/>
    </row>
    <row r="103" spans="1:33" x14ac:dyDescent="0.3">
      <c r="A103" s="164"/>
      <c r="B103" s="164"/>
      <c r="C103" s="164"/>
      <c r="D103" s="164"/>
      <c r="E103" s="164"/>
      <c r="F103" s="165" t="str">
        <f>IFERROR(VLOOKUP($A103,Handelwaren!$B:$K,2,FALSE),"")</f>
        <v/>
      </c>
      <c r="G103" s="165"/>
      <c r="H103" s="165"/>
      <c r="I103" s="165"/>
      <c r="J103" s="165"/>
      <c r="K103" s="166" t="str">
        <f>IFERROR(VLOOKUP($A103,Handelwaren!$B:$K,7,FALSE),"")</f>
        <v/>
      </c>
      <c r="L103" s="167"/>
      <c r="M103" s="65" t="str">
        <f>IFERROR(VLOOKUP($A103,Handelwaren!$B:$K,6,FALSE),"")</f>
        <v/>
      </c>
      <c r="N103" s="166" t="str">
        <f>IFERROR(VLOOKUP($A103,Handelwaren!$B:$K,9,FALSE),"")</f>
        <v/>
      </c>
      <c r="O103" s="167"/>
      <c r="P103" s="65" t="str">
        <f>IFERROR(VLOOKUP($A103,Handelwaren!$B:$K,8,FALSE),"")</f>
        <v/>
      </c>
      <c r="Q103" s="165" t="str">
        <f>IFERROR(VLOOKUP($A103,Handelwaren!$B:$K,10,FALSE),"")</f>
        <v/>
      </c>
      <c r="R103" s="165"/>
      <c r="S103" s="161" t="str">
        <f>IFERROR(VLOOKUP($A103,Handelwaren!$B:$K,4,FALSE),"")</f>
        <v/>
      </c>
      <c r="T103" s="161"/>
      <c r="U103" s="161" t="str">
        <f>IFERROR(VLOOKUP($A103,Handelwaren!$B:$K,5,FALSE),"")</f>
        <v/>
      </c>
      <c r="V103" s="161"/>
      <c r="W103" s="162"/>
      <c r="X103" s="162"/>
      <c r="Y103" s="163" t="str">
        <f t="shared" si="1"/>
        <v/>
      </c>
      <c r="Z103" s="163"/>
    </row>
    <row r="104" spans="1:33" x14ac:dyDescent="0.3">
      <c r="A104" s="164"/>
      <c r="B104" s="164"/>
      <c r="C104" s="164"/>
      <c r="D104" s="164"/>
      <c r="E104" s="164"/>
      <c r="F104" s="165" t="str">
        <f>IFERROR(VLOOKUP($A104,Handelwaren!$B:$K,2,FALSE),"")</f>
        <v/>
      </c>
      <c r="G104" s="165"/>
      <c r="H104" s="165"/>
      <c r="I104" s="165"/>
      <c r="J104" s="165"/>
      <c r="K104" s="166" t="str">
        <f>IFERROR(VLOOKUP($A104,Handelwaren!$B:$K,7,FALSE),"")</f>
        <v/>
      </c>
      <c r="L104" s="167"/>
      <c r="M104" s="65" t="str">
        <f>IFERROR(VLOOKUP($A104,Handelwaren!$B:$K,6,FALSE),"")</f>
        <v/>
      </c>
      <c r="N104" s="166" t="str">
        <f>IFERROR(VLOOKUP($A104,Handelwaren!$B:$K,9,FALSE),"")</f>
        <v/>
      </c>
      <c r="O104" s="167"/>
      <c r="P104" s="65" t="str">
        <f>IFERROR(VLOOKUP($A104,Handelwaren!$B:$K,8,FALSE),"")</f>
        <v/>
      </c>
      <c r="Q104" s="165" t="str">
        <f>IFERROR(VLOOKUP($A104,Handelwaren!$B:$K,10,FALSE),"")</f>
        <v/>
      </c>
      <c r="R104" s="165"/>
      <c r="S104" s="161" t="str">
        <f>IFERROR(VLOOKUP($A104,Handelwaren!$B:$K,4,FALSE),"")</f>
        <v/>
      </c>
      <c r="T104" s="161"/>
      <c r="U104" s="161" t="str">
        <f>IFERROR(VLOOKUP($A104,Handelwaren!$B:$K,5,FALSE),"")</f>
        <v/>
      </c>
      <c r="V104" s="161"/>
      <c r="W104" s="162"/>
      <c r="X104" s="162"/>
      <c r="Y104" s="163" t="str">
        <f t="shared" si="1"/>
        <v/>
      </c>
      <c r="Z104" s="163"/>
      <c r="AD104" s="55" t="s">
        <v>336</v>
      </c>
    </row>
    <row r="105" spans="1:33" x14ac:dyDescent="0.3">
      <c r="A105" s="164"/>
      <c r="B105" s="164"/>
      <c r="C105" s="164"/>
      <c r="D105" s="164"/>
      <c r="E105" s="164"/>
      <c r="F105" s="165" t="str">
        <f>IFERROR(VLOOKUP($A105,Handelwaren!$B:$K,2,FALSE),"")</f>
        <v/>
      </c>
      <c r="G105" s="165"/>
      <c r="H105" s="165"/>
      <c r="I105" s="165"/>
      <c r="J105" s="165"/>
      <c r="K105" s="166" t="str">
        <f>IFERROR(VLOOKUP($A105,Handelwaren!$B:$K,7,FALSE),"")</f>
        <v/>
      </c>
      <c r="L105" s="167"/>
      <c r="M105" s="65" t="str">
        <f>IFERROR(VLOOKUP($A105,Handelwaren!$B:$K,6,FALSE),"")</f>
        <v/>
      </c>
      <c r="N105" s="166" t="str">
        <f>IFERROR(VLOOKUP($A105,Handelwaren!$B:$K,9,FALSE),"")</f>
        <v/>
      </c>
      <c r="O105" s="167"/>
      <c r="P105" s="65" t="str">
        <f>IFERROR(VLOOKUP($A105,Handelwaren!$B:$K,8,FALSE),"")</f>
        <v/>
      </c>
      <c r="Q105" s="165" t="str">
        <f>IFERROR(VLOOKUP($A105,Handelwaren!$B:$K,10,FALSE),"")</f>
        <v/>
      </c>
      <c r="R105" s="165"/>
      <c r="S105" s="161" t="str">
        <f>IFERROR(VLOOKUP($A105,Handelwaren!$B:$K,4,FALSE),"")</f>
        <v/>
      </c>
      <c r="T105" s="161"/>
      <c r="U105" s="161" t="str">
        <f>IFERROR(VLOOKUP($A105,Handelwaren!$B:$K,5,FALSE),"")</f>
        <v/>
      </c>
      <c r="V105" s="161"/>
      <c r="W105" s="162"/>
      <c r="X105" s="162"/>
      <c r="Y105" s="163" t="str">
        <f t="shared" si="1"/>
        <v/>
      </c>
      <c r="Z105" s="163"/>
      <c r="AD105" s="160" t="s">
        <v>208</v>
      </c>
      <c r="AE105" s="160"/>
      <c r="AF105" s="160"/>
      <c r="AG105">
        <f ca="1">SUMIF($K$101:$L$120,$AD105,$M$101:$M$120)+SUMIF($N$101:$O$120,$AD105,$P$101:$P$120)</f>
        <v>0</v>
      </c>
    </row>
    <row r="106" spans="1:33" x14ac:dyDescent="0.3">
      <c r="A106" s="164"/>
      <c r="B106" s="164"/>
      <c r="C106" s="164"/>
      <c r="D106" s="164"/>
      <c r="E106" s="164"/>
      <c r="F106" s="165" t="str">
        <f>IFERROR(VLOOKUP($A106,Handelwaren!$B:$K,2,FALSE),"")</f>
        <v/>
      </c>
      <c r="G106" s="165"/>
      <c r="H106" s="165"/>
      <c r="I106" s="165"/>
      <c r="J106" s="165"/>
      <c r="K106" s="166" t="str">
        <f>IFERROR(VLOOKUP($A106,Handelwaren!$B:$K,7,FALSE),"")</f>
        <v/>
      </c>
      <c r="L106" s="167"/>
      <c r="M106" s="65" t="str">
        <f>IFERROR(VLOOKUP($A106,Handelwaren!$B:$K,6,FALSE),"")</f>
        <v/>
      </c>
      <c r="N106" s="166" t="str">
        <f>IFERROR(VLOOKUP($A106,Handelwaren!$B:$K,9,FALSE),"")</f>
        <v/>
      </c>
      <c r="O106" s="167"/>
      <c r="P106" s="65" t="str">
        <f>IFERROR(VLOOKUP($A106,Handelwaren!$B:$K,8,FALSE),"")</f>
        <v/>
      </c>
      <c r="Q106" s="165" t="str">
        <f>IFERROR(VLOOKUP($A106,Handelwaren!$B:$K,10,FALSE),"")</f>
        <v/>
      </c>
      <c r="R106" s="165"/>
      <c r="S106" s="161" t="str">
        <f>IFERROR(VLOOKUP($A106,Handelwaren!$B:$K,4,FALSE),"")</f>
        <v/>
      </c>
      <c r="T106" s="161"/>
      <c r="U106" s="161" t="str">
        <f>IFERROR(VLOOKUP($A106,Handelwaren!$B:$K,5,FALSE),"")</f>
        <v/>
      </c>
      <c r="V106" s="161"/>
      <c r="W106" s="162"/>
      <c r="X106" s="162"/>
      <c r="Y106" s="163" t="str">
        <f t="shared" si="1"/>
        <v/>
      </c>
      <c r="Z106" s="163"/>
      <c r="AD106" s="160" t="s">
        <v>221</v>
      </c>
      <c r="AE106" s="160"/>
      <c r="AF106" s="160"/>
      <c r="AG106">
        <f t="shared" ref="AG106:AG115" ca="1" si="2">SUMIF($K$101:$L$120,$AD106,$M$101:$M$120)+SUMIF($N$101:$O$120,$AD106,$P$101:$P$120)</f>
        <v>0</v>
      </c>
    </row>
    <row r="107" spans="1:33" x14ac:dyDescent="0.3">
      <c r="A107" s="164"/>
      <c r="B107" s="164"/>
      <c r="C107" s="164"/>
      <c r="D107" s="164"/>
      <c r="E107" s="164"/>
      <c r="F107" s="165" t="str">
        <f>IFERROR(VLOOKUP($A107,Handelwaren!$B:$K,2,FALSE),"")</f>
        <v/>
      </c>
      <c r="G107" s="165"/>
      <c r="H107" s="165"/>
      <c r="I107" s="165"/>
      <c r="J107" s="165"/>
      <c r="K107" s="166" t="str">
        <f>IFERROR(VLOOKUP($A107,Handelwaren!$B:$K,7,FALSE),"")</f>
        <v/>
      </c>
      <c r="L107" s="167"/>
      <c r="M107" s="65" t="str">
        <f>IFERROR(VLOOKUP($A107,Handelwaren!$B:$K,6,FALSE),"")</f>
        <v/>
      </c>
      <c r="N107" s="166" t="str">
        <f>IFERROR(VLOOKUP($A107,Handelwaren!$B:$K,9,FALSE),"")</f>
        <v/>
      </c>
      <c r="O107" s="167"/>
      <c r="P107" s="65" t="str">
        <f>IFERROR(VLOOKUP($A107,Handelwaren!$B:$K,8,FALSE),"")</f>
        <v/>
      </c>
      <c r="Q107" s="165" t="str">
        <f>IFERROR(VLOOKUP($A107,Handelwaren!$B:$K,10,FALSE),"")</f>
        <v/>
      </c>
      <c r="R107" s="165"/>
      <c r="S107" s="161" t="str">
        <f>IFERROR(VLOOKUP($A107,Handelwaren!$B:$K,4,FALSE),"")</f>
        <v/>
      </c>
      <c r="T107" s="161"/>
      <c r="U107" s="161" t="str">
        <f>IFERROR(VLOOKUP($A107,Handelwaren!$B:$K,5,FALSE),"")</f>
        <v/>
      </c>
      <c r="V107" s="161"/>
      <c r="W107" s="162"/>
      <c r="X107" s="162"/>
      <c r="Y107" s="163" t="str">
        <f t="shared" ref="Y107:Y118" si="3">IFERROR(S107*W107,"")</f>
        <v/>
      </c>
      <c r="Z107" s="163"/>
      <c r="AD107" s="160" t="s">
        <v>268</v>
      </c>
      <c r="AE107" s="160"/>
      <c r="AF107" s="160"/>
      <c r="AG107">
        <f t="shared" ca="1" si="2"/>
        <v>0</v>
      </c>
    </row>
    <row r="108" spans="1:33" x14ac:dyDescent="0.3">
      <c r="A108" s="164"/>
      <c r="B108" s="164"/>
      <c r="C108" s="164"/>
      <c r="D108" s="164"/>
      <c r="E108" s="164"/>
      <c r="F108" s="165" t="str">
        <f>IFERROR(VLOOKUP($A108,Handelwaren!$B:$K,2,FALSE),"")</f>
        <v/>
      </c>
      <c r="G108" s="165"/>
      <c r="H108" s="165"/>
      <c r="I108" s="165"/>
      <c r="J108" s="165"/>
      <c r="K108" s="166" t="str">
        <f>IFERROR(VLOOKUP($A108,Handelwaren!$B:$K,7,FALSE),"")</f>
        <v/>
      </c>
      <c r="L108" s="167"/>
      <c r="M108" s="65" t="str">
        <f>IFERROR(VLOOKUP($A108,Handelwaren!$B:$K,6,FALSE),"")</f>
        <v/>
      </c>
      <c r="N108" s="166" t="str">
        <f>IFERROR(VLOOKUP($A108,Handelwaren!$B:$K,9,FALSE),"")</f>
        <v/>
      </c>
      <c r="O108" s="167"/>
      <c r="P108" s="65" t="str">
        <f>IFERROR(VLOOKUP($A108,Handelwaren!$B:$K,8,FALSE),"")</f>
        <v/>
      </c>
      <c r="Q108" s="165" t="str">
        <f>IFERROR(VLOOKUP($A108,Handelwaren!$B:$K,10,FALSE),"")</f>
        <v/>
      </c>
      <c r="R108" s="165"/>
      <c r="S108" s="161" t="str">
        <f>IFERROR(VLOOKUP($A108,Handelwaren!$B:$K,4,FALSE),"")</f>
        <v/>
      </c>
      <c r="T108" s="161"/>
      <c r="U108" s="161" t="str">
        <f>IFERROR(VLOOKUP($A108,Handelwaren!$B:$K,5,FALSE),"")</f>
        <v/>
      </c>
      <c r="V108" s="161"/>
      <c r="W108" s="162"/>
      <c r="X108" s="162"/>
      <c r="Y108" s="163" t="str">
        <f t="shared" si="3"/>
        <v/>
      </c>
      <c r="Z108" s="163"/>
      <c r="AD108" s="160" t="s">
        <v>319</v>
      </c>
      <c r="AE108" s="160"/>
      <c r="AF108" s="160"/>
      <c r="AG108">
        <f t="shared" ca="1" si="2"/>
        <v>0</v>
      </c>
    </row>
    <row r="109" spans="1:33" x14ac:dyDescent="0.3">
      <c r="A109" s="164"/>
      <c r="B109" s="164"/>
      <c r="C109" s="164"/>
      <c r="D109" s="164"/>
      <c r="E109" s="164"/>
      <c r="F109" s="165" t="str">
        <f>IFERROR(VLOOKUP($A109,Handelwaren!$B:$K,2,FALSE),"")</f>
        <v/>
      </c>
      <c r="G109" s="165"/>
      <c r="H109" s="165"/>
      <c r="I109" s="165"/>
      <c r="J109" s="165"/>
      <c r="K109" s="166" t="str">
        <f>IFERROR(VLOOKUP($A109,Handelwaren!$B:$K,7,FALSE),"")</f>
        <v/>
      </c>
      <c r="L109" s="167"/>
      <c r="M109" s="65" t="str">
        <f>IFERROR(VLOOKUP($A109,Handelwaren!$B:$K,6,FALSE),"")</f>
        <v/>
      </c>
      <c r="N109" s="166" t="str">
        <f>IFERROR(VLOOKUP($A109,Handelwaren!$B:$K,9,FALSE),"")</f>
        <v/>
      </c>
      <c r="O109" s="167"/>
      <c r="P109" s="65" t="str">
        <f>IFERROR(VLOOKUP($A109,Handelwaren!$B:$K,8,FALSE),"")</f>
        <v/>
      </c>
      <c r="Q109" s="165" t="str">
        <f>IFERROR(VLOOKUP($A109,Handelwaren!$B:$K,10,FALSE),"")</f>
        <v/>
      </c>
      <c r="R109" s="165"/>
      <c r="S109" s="161" t="str">
        <f>IFERROR(VLOOKUP($A109,Handelwaren!$B:$K,4,FALSE),"")</f>
        <v/>
      </c>
      <c r="T109" s="161"/>
      <c r="U109" s="161" t="str">
        <f>IFERROR(VLOOKUP($A109,Handelwaren!$B:$K,5,FALSE),"")</f>
        <v/>
      </c>
      <c r="V109" s="161"/>
      <c r="W109" s="162"/>
      <c r="X109" s="162"/>
      <c r="Y109" s="163" t="str">
        <f t="shared" si="3"/>
        <v/>
      </c>
      <c r="Z109" s="163"/>
      <c r="AD109" s="160" t="s">
        <v>253</v>
      </c>
      <c r="AE109" s="160"/>
      <c r="AF109" s="160"/>
      <c r="AG109">
        <f t="shared" ca="1" si="2"/>
        <v>0</v>
      </c>
    </row>
    <row r="110" spans="1:33" x14ac:dyDescent="0.3">
      <c r="A110" s="164"/>
      <c r="B110" s="164"/>
      <c r="C110" s="164"/>
      <c r="D110" s="164"/>
      <c r="E110" s="164"/>
      <c r="F110" s="165" t="str">
        <f>IFERROR(VLOOKUP($A110,Handelwaren!$B:$K,2,FALSE),"")</f>
        <v/>
      </c>
      <c r="G110" s="165"/>
      <c r="H110" s="165"/>
      <c r="I110" s="165"/>
      <c r="J110" s="165"/>
      <c r="K110" s="166" t="str">
        <f>IFERROR(VLOOKUP($A110,Handelwaren!$B:$K,7,FALSE),"")</f>
        <v/>
      </c>
      <c r="L110" s="167"/>
      <c r="M110" s="65" t="str">
        <f>IFERROR(VLOOKUP($A110,Handelwaren!$B:$K,6,FALSE),"")</f>
        <v/>
      </c>
      <c r="N110" s="166" t="str">
        <f>IFERROR(VLOOKUP($A110,Handelwaren!$B:$K,9,FALSE),"")</f>
        <v/>
      </c>
      <c r="O110" s="167"/>
      <c r="P110" s="65" t="str">
        <f>IFERROR(VLOOKUP($A110,Handelwaren!$B:$K,8,FALSE),"")</f>
        <v/>
      </c>
      <c r="Q110" s="165" t="str">
        <f>IFERROR(VLOOKUP($A110,Handelwaren!$B:$K,10,FALSE),"")</f>
        <v/>
      </c>
      <c r="R110" s="165"/>
      <c r="S110" s="161" t="str">
        <f>IFERROR(VLOOKUP($A110,Handelwaren!$B:$K,4,FALSE),"")</f>
        <v/>
      </c>
      <c r="T110" s="161"/>
      <c r="U110" s="161" t="str">
        <f>IFERROR(VLOOKUP($A110,Handelwaren!$B:$K,5,FALSE),"")</f>
        <v/>
      </c>
      <c r="V110" s="161"/>
      <c r="W110" s="162"/>
      <c r="X110" s="162"/>
      <c r="Y110" s="163" t="str">
        <f t="shared" si="3"/>
        <v/>
      </c>
      <c r="Z110" s="163"/>
      <c r="AD110" s="160" t="s">
        <v>199</v>
      </c>
      <c r="AE110" s="160"/>
      <c r="AF110" s="160"/>
      <c r="AG110">
        <f t="shared" ca="1" si="2"/>
        <v>0</v>
      </c>
    </row>
    <row r="111" spans="1:33" x14ac:dyDescent="0.3">
      <c r="A111" s="164"/>
      <c r="B111" s="164"/>
      <c r="C111" s="164"/>
      <c r="D111" s="164"/>
      <c r="E111" s="164"/>
      <c r="F111" s="165" t="str">
        <f>IFERROR(VLOOKUP($A111,Handelwaren!$B:$K,2,FALSE),"")</f>
        <v/>
      </c>
      <c r="G111" s="165"/>
      <c r="H111" s="165"/>
      <c r="I111" s="165"/>
      <c r="J111" s="165"/>
      <c r="K111" s="166" t="str">
        <f>IFERROR(VLOOKUP($A111,Handelwaren!$B:$K,7,FALSE),"")</f>
        <v/>
      </c>
      <c r="L111" s="167"/>
      <c r="M111" s="65" t="str">
        <f>IFERROR(VLOOKUP($A111,Handelwaren!$B:$K,6,FALSE),"")</f>
        <v/>
      </c>
      <c r="N111" s="166" t="str">
        <f>IFERROR(VLOOKUP($A111,Handelwaren!$B:$K,9,FALSE),"")</f>
        <v/>
      </c>
      <c r="O111" s="167"/>
      <c r="P111" s="65" t="str">
        <f>IFERROR(VLOOKUP($A111,Handelwaren!$B:$K,8,FALSE),"")</f>
        <v/>
      </c>
      <c r="Q111" s="165" t="str">
        <f>IFERROR(VLOOKUP($A111,Handelwaren!$B:$K,10,FALSE),"")</f>
        <v/>
      </c>
      <c r="R111" s="165"/>
      <c r="S111" s="161" t="str">
        <f>IFERROR(VLOOKUP($A111,Handelwaren!$B:$K,4,FALSE),"")</f>
        <v/>
      </c>
      <c r="T111" s="161"/>
      <c r="U111" s="161" t="str">
        <f>IFERROR(VLOOKUP($A111,Handelwaren!$B:$K,5,FALSE),"")</f>
        <v/>
      </c>
      <c r="V111" s="161"/>
      <c r="W111" s="162"/>
      <c r="X111" s="162"/>
      <c r="Y111" s="163" t="str">
        <f t="shared" si="3"/>
        <v/>
      </c>
      <c r="Z111" s="163"/>
      <c r="AD111" s="160" t="s">
        <v>195</v>
      </c>
      <c r="AE111" s="160"/>
      <c r="AF111" s="160"/>
      <c r="AG111">
        <f t="shared" ca="1" si="2"/>
        <v>0</v>
      </c>
    </row>
    <row r="112" spans="1:33" x14ac:dyDescent="0.3">
      <c r="A112" s="164"/>
      <c r="B112" s="164"/>
      <c r="C112" s="164"/>
      <c r="D112" s="164"/>
      <c r="E112" s="164"/>
      <c r="F112" s="165" t="str">
        <f>IFERROR(VLOOKUP($A112,Handelwaren!$B:$K,2,FALSE),"")</f>
        <v/>
      </c>
      <c r="G112" s="165"/>
      <c r="H112" s="165"/>
      <c r="I112" s="165"/>
      <c r="J112" s="165"/>
      <c r="K112" s="166" t="str">
        <f>IFERROR(VLOOKUP($A112,Handelwaren!$B:$K,7,FALSE),"")</f>
        <v/>
      </c>
      <c r="L112" s="167"/>
      <c r="M112" s="65" t="str">
        <f>IFERROR(VLOOKUP($A112,Handelwaren!$B:$K,6,FALSE),"")</f>
        <v/>
      </c>
      <c r="N112" s="166" t="str">
        <f>IFERROR(VLOOKUP($A112,Handelwaren!$B:$K,9,FALSE),"")</f>
        <v/>
      </c>
      <c r="O112" s="167"/>
      <c r="P112" s="65" t="str">
        <f>IFERROR(VLOOKUP($A112,Handelwaren!$B:$K,8,FALSE),"")</f>
        <v/>
      </c>
      <c r="Q112" s="165" t="str">
        <f>IFERROR(VLOOKUP($A112,Handelwaren!$B:$K,10,FALSE),"")</f>
        <v/>
      </c>
      <c r="R112" s="165"/>
      <c r="S112" s="161" t="str">
        <f>IFERROR(VLOOKUP($A112,Handelwaren!$B:$K,4,FALSE),"")</f>
        <v/>
      </c>
      <c r="T112" s="161"/>
      <c r="U112" s="161" t="str">
        <f>IFERROR(VLOOKUP($A112,Handelwaren!$B:$K,5,FALSE),"")</f>
        <v/>
      </c>
      <c r="V112" s="161"/>
      <c r="W112" s="162"/>
      <c r="X112" s="162"/>
      <c r="Y112" s="163" t="str">
        <f t="shared" si="3"/>
        <v/>
      </c>
      <c r="Z112" s="163"/>
      <c r="AD112" s="160" t="s">
        <v>219</v>
      </c>
      <c r="AE112" s="160"/>
      <c r="AF112" s="160"/>
      <c r="AG112">
        <f t="shared" ca="1" si="2"/>
        <v>0</v>
      </c>
    </row>
    <row r="113" spans="1:33" x14ac:dyDescent="0.3">
      <c r="A113" s="164"/>
      <c r="B113" s="164"/>
      <c r="C113" s="164"/>
      <c r="D113" s="164"/>
      <c r="E113" s="164"/>
      <c r="F113" s="165" t="str">
        <f>IFERROR(VLOOKUP($A113,Handelwaren!$B:$K,2,FALSE),"")</f>
        <v/>
      </c>
      <c r="G113" s="165"/>
      <c r="H113" s="165"/>
      <c r="I113" s="165"/>
      <c r="J113" s="165"/>
      <c r="K113" s="166" t="str">
        <f>IFERROR(VLOOKUP($A113,Handelwaren!$B:$K,7,FALSE),"")</f>
        <v/>
      </c>
      <c r="L113" s="167"/>
      <c r="M113" s="65" t="str">
        <f>IFERROR(VLOOKUP($A113,Handelwaren!$B:$K,6,FALSE),"")</f>
        <v/>
      </c>
      <c r="N113" s="166" t="str">
        <f>IFERROR(VLOOKUP($A113,Handelwaren!$B:$K,9,FALSE),"")</f>
        <v/>
      </c>
      <c r="O113" s="167"/>
      <c r="P113" s="65" t="str">
        <f>IFERROR(VLOOKUP($A113,Handelwaren!$B:$K,8,FALSE),"")</f>
        <v/>
      </c>
      <c r="Q113" s="165" t="str">
        <f>IFERROR(VLOOKUP($A113,Handelwaren!$B:$K,10,FALSE),"")</f>
        <v/>
      </c>
      <c r="R113" s="165"/>
      <c r="S113" s="161" t="str">
        <f>IFERROR(VLOOKUP($A113,Handelwaren!$B:$K,4,FALSE),"")</f>
        <v/>
      </c>
      <c r="T113" s="161"/>
      <c r="U113" s="161" t="str">
        <f>IFERROR(VLOOKUP($A113,Handelwaren!$B:$K,5,FALSE),"")</f>
        <v/>
      </c>
      <c r="V113" s="161"/>
      <c r="W113" s="162"/>
      <c r="X113" s="162"/>
      <c r="Y113" s="163" t="str">
        <f t="shared" si="3"/>
        <v/>
      </c>
      <c r="Z113" s="163"/>
      <c r="AD113" s="160" t="s">
        <v>205</v>
      </c>
      <c r="AE113" s="160"/>
      <c r="AF113" s="160"/>
      <c r="AG113">
        <f t="shared" ca="1" si="2"/>
        <v>0</v>
      </c>
    </row>
    <row r="114" spans="1:33" x14ac:dyDescent="0.3">
      <c r="A114" s="164"/>
      <c r="B114" s="164"/>
      <c r="C114" s="164"/>
      <c r="D114" s="164"/>
      <c r="E114" s="164"/>
      <c r="F114" s="165" t="str">
        <f>IFERROR(VLOOKUP($A114,Handelwaren!$B:$K,2,FALSE),"")</f>
        <v/>
      </c>
      <c r="G114" s="165"/>
      <c r="H114" s="165"/>
      <c r="I114" s="165"/>
      <c r="J114" s="165"/>
      <c r="K114" s="166" t="str">
        <f>IFERROR(VLOOKUP($A114,Handelwaren!$B:$K,7,FALSE),"")</f>
        <v/>
      </c>
      <c r="L114" s="167"/>
      <c r="M114" s="65" t="str">
        <f>IFERROR(VLOOKUP($A114,Handelwaren!$B:$K,6,FALSE),"")</f>
        <v/>
      </c>
      <c r="N114" s="166" t="str">
        <f>IFERROR(VLOOKUP($A114,Handelwaren!$B:$K,9,FALSE),"")</f>
        <v/>
      </c>
      <c r="O114" s="167"/>
      <c r="P114" s="65" t="str">
        <f>IFERROR(VLOOKUP($A114,Handelwaren!$B:$K,8,FALSE),"")</f>
        <v/>
      </c>
      <c r="Q114" s="165" t="str">
        <f>IFERROR(VLOOKUP($A114,Handelwaren!$B:$K,10,FALSE),"")</f>
        <v/>
      </c>
      <c r="R114" s="165"/>
      <c r="S114" s="161" t="str">
        <f>IFERROR(VLOOKUP($A114,Handelwaren!$B:$K,4,FALSE),"")</f>
        <v/>
      </c>
      <c r="T114" s="161"/>
      <c r="U114" s="161" t="str">
        <f>IFERROR(VLOOKUP($A114,Handelwaren!$B:$K,5,FALSE),"")</f>
        <v/>
      </c>
      <c r="V114" s="161"/>
      <c r="W114" s="162"/>
      <c r="X114" s="162"/>
      <c r="Y114" s="163" t="str">
        <f t="shared" si="3"/>
        <v/>
      </c>
      <c r="Z114" s="163"/>
      <c r="AD114" s="160" t="s">
        <v>275</v>
      </c>
      <c r="AE114" s="160"/>
      <c r="AF114" s="160"/>
      <c r="AG114">
        <f t="shared" ca="1" si="2"/>
        <v>0</v>
      </c>
    </row>
    <row r="115" spans="1:33" x14ac:dyDescent="0.3">
      <c r="A115" s="164"/>
      <c r="B115" s="164"/>
      <c r="C115" s="164"/>
      <c r="D115" s="164"/>
      <c r="E115" s="164"/>
      <c r="F115" s="165" t="str">
        <f>IFERROR(VLOOKUP($A115,Handelwaren!$B:$K,2,FALSE),"")</f>
        <v/>
      </c>
      <c r="G115" s="165"/>
      <c r="H115" s="165"/>
      <c r="I115" s="165"/>
      <c r="J115" s="165"/>
      <c r="K115" s="166" t="str">
        <f>IFERROR(VLOOKUP($A115,Handelwaren!$B:$K,7,FALSE),"")</f>
        <v/>
      </c>
      <c r="L115" s="167"/>
      <c r="M115" s="65" t="str">
        <f>IFERROR(VLOOKUP($A115,Handelwaren!$B:$K,6,FALSE),"")</f>
        <v/>
      </c>
      <c r="N115" s="166" t="str">
        <f>IFERROR(VLOOKUP($A115,Handelwaren!$B:$K,9,FALSE),"")</f>
        <v/>
      </c>
      <c r="O115" s="167"/>
      <c r="P115" s="65" t="str">
        <f>IFERROR(VLOOKUP($A115,Handelwaren!$B:$K,8,FALSE),"")</f>
        <v/>
      </c>
      <c r="Q115" s="165" t="str">
        <f>IFERROR(VLOOKUP($A115,Handelwaren!$B:$K,10,FALSE),"")</f>
        <v/>
      </c>
      <c r="R115" s="165"/>
      <c r="S115" s="161" t="str">
        <f>IFERROR(VLOOKUP($A115,Handelwaren!$B:$K,4,FALSE),"")</f>
        <v/>
      </c>
      <c r="T115" s="161"/>
      <c r="U115" s="161" t="str">
        <f>IFERROR(VLOOKUP($A115,Handelwaren!$B:$K,5,FALSE),"")</f>
        <v/>
      </c>
      <c r="V115" s="161"/>
      <c r="W115" s="162"/>
      <c r="X115" s="162"/>
      <c r="Y115" s="163" t="str">
        <f t="shared" si="3"/>
        <v/>
      </c>
      <c r="Z115" s="163"/>
      <c r="AD115" s="160" t="s">
        <v>201</v>
      </c>
      <c r="AE115" s="160"/>
      <c r="AF115" s="160"/>
      <c r="AG115">
        <f t="shared" ca="1" si="2"/>
        <v>0</v>
      </c>
    </row>
    <row r="116" spans="1:33" x14ac:dyDescent="0.3">
      <c r="A116" s="164"/>
      <c r="B116" s="164"/>
      <c r="C116" s="164"/>
      <c r="D116" s="164"/>
      <c r="E116" s="164"/>
      <c r="F116" s="165" t="str">
        <f>IFERROR(VLOOKUP($A116,Handelwaren!$B:$K,2,FALSE),"")</f>
        <v/>
      </c>
      <c r="G116" s="165"/>
      <c r="H116" s="165"/>
      <c r="I116" s="165"/>
      <c r="J116" s="165"/>
      <c r="K116" s="166" t="str">
        <f>IFERROR(VLOOKUP($A116,Handelwaren!$B:$K,7,FALSE),"")</f>
        <v/>
      </c>
      <c r="L116" s="167"/>
      <c r="M116" s="65" t="str">
        <f>IFERROR(VLOOKUP($A116,Handelwaren!$B:$K,6,FALSE),"")</f>
        <v/>
      </c>
      <c r="N116" s="166" t="str">
        <f>IFERROR(VLOOKUP($A116,Handelwaren!$B:$K,9,FALSE),"")</f>
        <v/>
      </c>
      <c r="O116" s="167"/>
      <c r="P116" s="65" t="str">
        <f>IFERROR(VLOOKUP($A116,Handelwaren!$B:$K,8,FALSE),"")</f>
        <v/>
      </c>
      <c r="Q116" s="165" t="str">
        <f>IFERROR(VLOOKUP($A116,Handelwaren!$B:$K,10,FALSE),"")</f>
        <v/>
      </c>
      <c r="R116" s="165"/>
      <c r="S116" s="161" t="str">
        <f>IFERROR(VLOOKUP($A116,Handelwaren!$B:$K,4,FALSE),"")</f>
        <v/>
      </c>
      <c r="T116" s="161"/>
      <c r="U116" s="161" t="str">
        <f>IFERROR(VLOOKUP($A116,Handelwaren!$B:$K,5,FALSE),"")</f>
        <v/>
      </c>
      <c r="V116" s="161"/>
      <c r="W116" s="162"/>
      <c r="X116" s="162"/>
      <c r="Y116" s="163" t="str">
        <f t="shared" si="3"/>
        <v/>
      </c>
      <c r="Z116" s="163"/>
    </row>
    <row r="117" spans="1:33" x14ac:dyDescent="0.3">
      <c r="A117" s="164"/>
      <c r="B117" s="164"/>
      <c r="C117" s="164"/>
      <c r="D117" s="164"/>
      <c r="E117" s="164"/>
      <c r="F117" s="165" t="str">
        <f>IFERROR(VLOOKUP($A117,Handelwaren!$B:$K,2,FALSE),"")</f>
        <v/>
      </c>
      <c r="G117" s="165"/>
      <c r="H117" s="165"/>
      <c r="I117" s="165"/>
      <c r="J117" s="165"/>
      <c r="K117" s="166" t="str">
        <f>IFERROR(VLOOKUP($A117,Handelwaren!$B:$K,7,FALSE),"")</f>
        <v/>
      </c>
      <c r="L117" s="167"/>
      <c r="M117" s="65" t="str">
        <f>IFERROR(VLOOKUP($A117,Handelwaren!$B:$K,6,FALSE),"")</f>
        <v/>
      </c>
      <c r="N117" s="166" t="str">
        <f>IFERROR(VLOOKUP($A117,Handelwaren!$B:$K,9,FALSE),"")</f>
        <v/>
      </c>
      <c r="O117" s="167"/>
      <c r="P117" s="65" t="str">
        <f>IFERROR(VLOOKUP($A117,Handelwaren!$B:$K,8,FALSE),"")</f>
        <v/>
      </c>
      <c r="Q117" s="165" t="str">
        <f>IFERROR(VLOOKUP($A117,Handelwaren!$B:$K,10,FALSE),"")</f>
        <v/>
      </c>
      <c r="R117" s="165"/>
      <c r="S117" s="161" t="str">
        <f>IFERROR(VLOOKUP($A117,Handelwaren!$B:$K,4,FALSE),"")</f>
        <v/>
      </c>
      <c r="T117" s="161"/>
      <c r="U117" s="161" t="str">
        <f>IFERROR(VLOOKUP($A117,Handelwaren!$B:$K,5,FALSE),"")</f>
        <v/>
      </c>
      <c r="V117" s="161"/>
      <c r="W117" s="162"/>
      <c r="X117" s="162"/>
      <c r="Y117" s="163" t="str">
        <f t="shared" si="3"/>
        <v/>
      </c>
      <c r="Z117" s="163"/>
    </row>
    <row r="118" spans="1:33" x14ac:dyDescent="0.3">
      <c r="A118" s="164"/>
      <c r="B118" s="164"/>
      <c r="C118" s="164"/>
      <c r="D118" s="164"/>
      <c r="E118" s="164"/>
      <c r="F118" s="165" t="str">
        <f>IFERROR(VLOOKUP($A118,Handelwaren!$B:$K,2,FALSE),"")</f>
        <v/>
      </c>
      <c r="G118" s="165"/>
      <c r="H118" s="165"/>
      <c r="I118" s="165"/>
      <c r="J118" s="165"/>
      <c r="K118" s="166" t="str">
        <f>IFERROR(VLOOKUP($A118,Handelwaren!$B:$K,7,FALSE),"")</f>
        <v/>
      </c>
      <c r="L118" s="167"/>
      <c r="M118" s="65" t="str">
        <f>IFERROR(VLOOKUP($A118,Handelwaren!$B:$K,6,FALSE),"")</f>
        <v/>
      </c>
      <c r="N118" s="166" t="str">
        <f>IFERROR(VLOOKUP($A118,Handelwaren!$B:$K,9,FALSE),"")</f>
        <v/>
      </c>
      <c r="O118" s="167"/>
      <c r="P118" s="65" t="str">
        <f>IFERROR(VLOOKUP($A118,Handelwaren!$B:$K,8,FALSE),"")</f>
        <v/>
      </c>
      <c r="Q118" s="165" t="str">
        <f>IFERROR(VLOOKUP($A118,Handelwaren!$B:$K,10,FALSE),"")</f>
        <v/>
      </c>
      <c r="R118" s="165"/>
      <c r="S118" s="161" t="str">
        <f>IFERROR(VLOOKUP($A118,Handelwaren!$B:$K,4,FALSE),"")</f>
        <v/>
      </c>
      <c r="T118" s="161"/>
      <c r="U118" s="161" t="str">
        <f>IFERROR(VLOOKUP($A118,Handelwaren!$B:$K,5,FALSE),"")</f>
        <v/>
      </c>
      <c r="V118" s="161"/>
      <c r="W118" s="162"/>
      <c r="X118" s="162"/>
      <c r="Y118" s="163" t="str">
        <f t="shared" si="3"/>
        <v/>
      </c>
      <c r="Z118" s="163"/>
    </row>
    <row r="119" spans="1:33" x14ac:dyDescent="0.3">
      <c r="A119" s="164"/>
      <c r="B119" s="164"/>
      <c r="C119" s="164"/>
      <c r="D119" s="164"/>
      <c r="E119" s="164"/>
      <c r="F119" s="165" t="str">
        <f>IFERROR(VLOOKUP($A119,Handelwaren!$B:$K,2,FALSE),"")</f>
        <v/>
      </c>
      <c r="G119" s="165"/>
      <c r="H119" s="165"/>
      <c r="I119" s="165"/>
      <c r="J119" s="165"/>
      <c r="K119" s="166" t="str">
        <f>IFERROR(VLOOKUP($A119,Handelwaren!$B:$K,7,FALSE),"")</f>
        <v/>
      </c>
      <c r="L119" s="167"/>
      <c r="M119" s="65" t="str">
        <f>IFERROR(VLOOKUP($A119,Handelwaren!$B:$K,6,FALSE),"")</f>
        <v/>
      </c>
      <c r="N119" s="166" t="str">
        <f>IFERROR(VLOOKUP($A119,Handelwaren!$B:$K,9,FALSE),"")</f>
        <v/>
      </c>
      <c r="O119" s="167"/>
      <c r="P119" s="65" t="str">
        <f>IFERROR(VLOOKUP($A119,Handelwaren!$B:$K,8,FALSE),"")</f>
        <v/>
      </c>
      <c r="Q119" s="165" t="str">
        <f>IFERROR(VLOOKUP($A119,Handelwaren!$B:$K,10,FALSE),"")</f>
        <v/>
      </c>
      <c r="R119" s="165"/>
      <c r="S119" s="161" t="str">
        <f>IFERROR(VLOOKUP($A119,Handelwaren!$B:$K,4,FALSE),"")</f>
        <v/>
      </c>
      <c r="T119" s="161"/>
      <c r="U119" s="161" t="str">
        <f>IFERROR(VLOOKUP($A119,Handelwaren!$B:$K,5,FALSE),"")</f>
        <v/>
      </c>
      <c r="V119" s="161"/>
      <c r="W119" s="162"/>
      <c r="X119" s="162"/>
      <c r="Y119" s="163" t="str">
        <f t="shared" si="1"/>
        <v/>
      </c>
      <c r="Z119" s="163"/>
    </row>
    <row r="120" spans="1:33" x14ac:dyDescent="0.3">
      <c r="A120" s="164"/>
      <c r="B120" s="164"/>
      <c r="C120" s="164"/>
      <c r="D120" s="164"/>
      <c r="E120" s="164"/>
      <c r="F120" s="165" t="str">
        <f>IFERROR(VLOOKUP($A120,Handelwaren!$B:$K,2,FALSE),"")</f>
        <v/>
      </c>
      <c r="G120" s="165"/>
      <c r="H120" s="165"/>
      <c r="I120" s="165"/>
      <c r="J120" s="165"/>
      <c r="K120" s="166" t="str">
        <f>IFERROR(VLOOKUP($A120,Handelwaren!$B:$K,7,FALSE),"")</f>
        <v/>
      </c>
      <c r="L120" s="167"/>
      <c r="M120" s="65" t="str">
        <f>IFERROR(VLOOKUP($A120,Handelwaren!$B:$K,6,FALSE),"")</f>
        <v/>
      </c>
      <c r="N120" s="166" t="str">
        <f>IFERROR(VLOOKUP($A120,Handelwaren!$B:$K,9,FALSE),"")</f>
        <v/>
      </c>
      <c r="O120" s="167"/>
      <c r="P120" s="65" t="str">
        <f>IFERROR(VLOOKUP($A120,Handelwaren!$B:$K,8,FALSE),"")</f>
        <v/>
      </c>
      <c r="Q120" s="165" t="str">
        <f>IFERROR(VLOOKUP($A120,Handelwaren!$B:$K,10,FALSE),"")</f>
        <v/>
      </c>
      <c r="R120" s="165"/>
      <c r="S120" s="161" t="str">
        <f>IFERROR(VLOOKUP($A120,Handelwaren!$B:$K,4,FALSE),"")</f>
        <v/>
      </c>
      <c r="T120" s="161"/>
      <c r="U120" s="161" t="str">
        <f>IFERROR(VLOOKUP($A120,Handelwaren!$B:$K,5,FALSE),"")</f>
        <v/>
      </c>
      <c r="V120" s="161"/>
      <c r="W120" s="162"/>
      <c r="X120" s="162"/>
      <c r="Y120" s="163" t="str">
        <f t="shared" si="1"/>
        <v/>
      </c>
      <c r="Z120" s="163"/>
    </row>
    <row r="121" spans="1:33" ht="17.25" thickBot="1" x14ac:dyDescent="0.3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37">
        <f>SUM(Q101:R120)</f>
        <v>0</v>
      </c>
      <c r="R121" s="138"/>
      <c r="S121" s="112"/>
      <c r="T121" s="112"/>
      <c r="U121" s="112"/>
      <c r="V121" s="112"/>
      <c r="W121" s="112"/>
      <c r="X121" s="112"/>
      <c r="Y121" s="112"/>
      <c r="Z121" s="112"/>
    </row>
    <row r="122" spans="1:33" ht="17.25" thickTop="1" x14ac:dyDescent="0.3">
      <c r="A122" s="168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>Ihr habt mehr Arbeitskräfte eingesetzt, als Euch zur Verfügung stehen!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79" t="s">
        <v>259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88" t="s">
        <v>241</v>
      </c>
      <c r="B126" s="202" t="s">
        <v>261</v>
      </c>
      <c r="C126" s="188" t="s">
        <v>260</v>
      </c>
      <c r="D126" s="188"/>
      <c r="E126" s="188"/>
      <c r="F126" s="188"/>
      <c r="G126" s="188"/>
      <c r="H126" s="188"/>
      <c r="I126" s="188" t="s">
        <v>188</v>
      </c>
      <c r="J126" s="188"/>
      <c r="K126" s="188"/>
      <c r="L126" s="188"/>
      <c r="M126" s="188"/>
      <c r="N126" s="136" t="s">
        <v>263</v>
      </c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33" x14ac:dyDescent="0.3">
      <c r="A127" s="188"/>
      <c r="B127" s="202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203" t="s">
        <v>391</v>
      </c>
      <c r="O127" s="204"/>
      <c r="P127" s="204"/>
      <c r="Q127" s="133"/>
      <c r="R127" s="136" t="s">
        <v>265</v>
      </c>
      <c r="S127" s="136"/>
      <c r="T127" s="136"/>
      <c r="U127" s="136" t="s">
        <v>266</v>
      </c>
      <c r="V127" s="136"/>
      <c r="W127" s="136"/>
      <c r="X127" s="136" t="s">
        <v>262</v>
      </c>
      <c r="Y127" s="136"/>
      <c r="Z127" s="136"/>
    </row>
    <row r="128" spans="1:33" x14ac:dyDescent="0.3">
      <c r="A128" s="64">
        <v>1</v>
      </c>
      <c r="B128" s="116" t="s">
        <v>264</v>
      </c>
      <c r="C128" s="142" t="str">
        <f>J89</f>
        <v>Kohle</v>
      </c>
      <c r="D128" s="142"/>
      <c r="E128" s="142"/>
      <c r="F128" s="142"/>
      <c r="G128" s="142"/>
      <c r="H128" s="142"/>
      <c r="I128" s="140" t="str">
        <f>IFERROR(VLOOKUP($C128,Produktion!$C$3:$D$27,2,FALSE),"")</f>
        <v>Rohstoff</v>
      </c>
      <c r="J128" s="140"/>
      <c r="K128" s="140"/>
      <c r="L128" s="140"/>
      <c r="M128" s="140"/>
      <c r="N128" s="146">
        <v>0</v>
      </c>
      <c r="O128" s="147"/>
      <c r="P128" s="147"/>
      <c r="Q128" s="130"/>
      <c r="R128" s="148">
        <f ca="1">Y89</f>
        <v>30</v>
      </c>
      <c r="S128" s="148"/>
      <c r="T128" s="148"/>
      <c r="U128" s="148"/>
      <c r="V128" s="148"/>
      <c r="W128" s="148"/>
      <c r="X128" s="149">
        <f t="shared" ref="X128" ca="1" si="4">IFERROR(IF(B128="x",N128+R128+U128,"-"),"")</f>
        <v>30</v>
      </c>
      <c r="Y128" s="150"/>
      <c r="Z128" s="151"/>
      <c r="AB128">
        <v>1</v>
      </c>
    </row>
    <row r="129" spans="1:28" x14ac:dyDescent="0.3">
      <c r="A129" s="64">
        <v>2</v>
      </c>
      <c r="B129" s="116" t="s">
        <v>264</v>
      </c>
      <c r="C129" s="142" t="str">
        <f t="shared" ref="C129:C133" si="5">J90</f>
        <v/>
      </c>
      <c r="D129" s="142"/>
      <c r="E129" s="142"/>
      <c r="F129" s="142"/>
      <c r="G129" s="142"/>
      <c r="H129" s="142"/>
      <c r="I129" s="140" t="str">
        <f>IFERROR(VLOOKUP($C129,Produktion!$C$3:$D$27,2,FALSE),"")</f>
        <v/>
      </c>
      <c r="J129" s="140"/>
      <c r="K129" s="140"/>
      <c r="L129" s="140"/>
      <c r="M129" s="140"/>
      <c r="N129" s="146">
        <v>0</v>
      </c>
      <c r="O129" s="147"/>
      <c r="P129" s="147"/>
      <c r="Q129" s="130"/>
      <c r="R129" s="148" t="str">
        <f t="shared" ref="R129:R133" ca="1" si="6">Y90</f>
        <v/>
      </c>
      <c r="S129" s="148"/>
      <c r="T129" s="148"/>
      <c r="U129" s="148"/>
      <c r="V129" s="148"/>
      <c r="W129" s="148"/>
      <c r="X129" s="149" t="str">
        <f t="shared" ref="X129:X133" ca="1" si="7">IFERROR(IF(B129="x",N129+R129+U129,"-"),"")</f>
        <v/>
      </c>
      <c r="Y129" s="150"/>
      <c r="Z129" s="151"/>
      <c r="AB129">
        <v>1</v>
      </c>
    </row>
    <row r="130" spans="1:28" x14ac:dyDescent="0.3">
      <c r="A130" s="64">
        <v>3</v>
      </c>
      <c r="B130" s="116"/>
      <c r="C130" s="142" t="str">
        <f t="shared" si="5"/>
        <v/>
      </c>
      <c r="D130" s="142"/>
      <c r="E130" s="142"/>
      <c r="F130" s="142"/>
      <c r="G130" s="142"/>
      <c r="H130" s="142"/>
      <c r="I130" s="140" t="str">
        <f>IFERROR(VLOOKUP($C130,Produktion!$C$3:$D$27,2,FALSE),"")</f>
        <v/>
      </c>
      <c r="J130" s="140"/>
      <c r="K130" s="140"/>
      <c r="L130" s="140"/>
      <c r="M130" s="140"/>
      <c r="N130" s="146" t="s">
        <v>423</v>
      </c>
      <c r="O130" s="147"/>
      <c r="P130" s="147"/>
      <c r="Q130" s="130"/>
      <c r="R130" s="148" t="str">
        <f t="shared" ca="1" si="6"/>
        <v/>
      </c>
      <c r="S130" s="148"/>
      <c r="T130" s="148"/>
      <c r="U130" s="148"/>
      <c r="V130" s="148"/>
      <c r="W130" s="148"/>
      <c r="X130" s="149" t="str">
        <f t="shared" si="7"/>
        <v>-</v>
      </c>
      <c r="Y130" s="150"/>
      <c r="Z130" s="151"/>
      <c r="AB130">
        <v>1</v>
      </c>
    </row>
    <row r="131" spans="1:28" x14ac:dyDescent="0.3">
      <c r="A131" s="64">
        <v>4</v>
      </c>
      <c r="B131" s="116"/>
      <c r="C131" s="142" t="str">
        <f t="shared" si="5"/>
        <v/>
      </c>
      <c r="D131" s="142"/>
      <c r="E131" s="142"/>
      <c r="F131" s="142"/>
      <c r="G131" s="142"/>
      <c r="H131" s="142"/>
      <c r="I131" s="140" t="str">
        <f>IFERROR(VLOOKUP($C131,Produktion!$C$3:$D$27,2,FALSE),"")</f>
        <v/>
      </c>
      <c r="J131" s="140"/>
      <c r="K131" s="140"/>
      <c r="L131" s="140"/>
      <c r="M131" s="140"/>
      <c r="N131" s="146" t="s">
        <v>423</v>
      </c>
      <c r="O131" s="147"/>
      <c r="P131" s="147"/>
      <c r="Q131" s="130"/>
      <c r="R131" s="148" t="str">
        <f t="shared" ca="1" si="6"/>
        <v/>
      </c>
      <c r="S131" s="148"/>
      <c r="T131" s="148"/>
      <c r="U131" s="148"/>
      <c r="V131" s="148"/>
      <c r="W131" s="148"/>
      <c r="X131" s="149" t="str">
        <f t="shared" si="7"/>
        <v>-</v>
      </c>
      <c r="Y131" s="150"/>
      <c r="Z131" s="151"/>
      <c r="AB131">
        <v>1</v>
      </c>
    </row>
    <row r="132" spans="1:28" x14ac:dyDescent="0.3">
      <c r="A132" s="64">
        <v>5</v>
      </c>
      <c r="B132" s="116"/>
      <c r="C132" s="142" t="str">
        <f t="shared" si="5"/>
        <v/>
      </c>
      <c r="D132" s="142"/>
      <c r="E132" s="142"/>
      <c r="F132" s="142"/>
      <c r="G132" s="142"/>
      <c r="H132" s="142"/>
      <c r="I132" s="140" t="str">
        <f>IFERROR(VLOOKUP($C132,Produktion!$C$3:$D$27,2,FALSE),"")</f>
        <v/>
      </c>
      <c r="J132" s="140"/>
      <c r="K132" s="140"/>
      <c r="L132" s="140"/>
      <c r="M132" s="140"/>
      <c r="N132" s="146" t="s">
        <v>423</v>
      </c>
      <c r="O132" s="147"/>
      <c r="P132" s="147"/>
      <c r="Q132" s="130"/>
      <c r="R132" s="148" t="str">
        <f t="shared" ca="1" si="6"/>
        <v/>
      </c>
      <c r="S132" s="148"/>
      <c r="T132" s="148"/>
      <c r="U132" s="148"/>
      <c r="V132" s="148"/>
      <c r="W132" s="148"/>
      <c r="X132" s="149" t="str">
        <f t="shared" si="7"/>
        <v>-</v>
      </c>
      <c r="Y132" s="150"/>
      <c r="Z132" s="151"/>
      <c r="AB132">
        <v>1</v>
      </c>
    </row>
    <row r="133" spans="1:28" ht="17.25" thickBot="1" x14ac:dyDescent="0.35">
      <c r="A133" s="119">
        <v>6</v>
      </c>
      <c r="B133" s="117"/>
      <c r="C133" s="189" t="str">
        <f t="shared" si="5"/>
        <v/>
      </c>
      <c r="D133" s="189"/>
      <c r="E133" s="189"/>
      <c r="F133" s="189"/>
      <c r="G133" s="189"/>
      <c r="H133" s="189"/>
      <c r="I133" s="186" t="str">
        <f>IFERROR(VLOOKUP($C133,Produktion!$C$3:$D$27,2,FALSE),"")</f>
        <v/>
      </c>
      <c r="J133" s="186"/>
      <c r="K133" s="186"/>
      <c r="L133" s="186"/>
      <c r="M133" s="186"/>
      <c r="N133" s="198" t="s">
        <v>423</v>
      </c>
      <c r="O133" s="199"/>
      <c r="P133" s="199"/>
      <c r="Q133" s="131"/>
      <c r="R133" s="190" t="str">
        <f t="shared" ca="1" si="6"/>
        <v/>
      </c>
      <c r="S133" s="190"/>
      <c r="T133" s="190"/>
      <c r="U133" s="190"/>
      <c r="V133" s="190"/>
      <c r="W133" s="190"/>
      <c r="X133" s="191" t="str">
        <f t="shared" si="7"/>
        <v>-</v>
      </c>
      <c r="Y133" s="192"/>
      <c r="Z133" s="193"/>
      <c r="AB133">
        <v>1</v>
      </c>
    </row>
    <row r="134" spans="1:28" ht="17.25" thickTop="1" x14ac:dyDescent="0.3">
      <c r="A134" s="120">
        <v>7</v>
      </c>
      <c r="B134" s="118" t="s">
        <v>264</v>
      </c>
      <c r="C134" s="145" t="s">
        <v>284</v>
      </c>
      <c r="D134" s="145"/>
      <c r="E134" s="145"/>
      <c r="F134" s="145"/>
      <c r="G134" s="145"/>
      <c r="H134" s="145"/>
      <c r="I134" s="187" t="str">
        <f>IFERROR(VLOOKUP($C134,Lager!$A:$B,2,FALSE),"")</f>
        <v>Nahrung</v>
      </c>
      <c r="J134" s="187"/>
      <c r="K134" s="187"/>
      <c r="L134" s="187"/>
      <c r="M134" s="187"/>
      <c r="N134" s="200">
        <v>10</v>
      </c>
      <c r="O134" s="201"/>
      <c r="P134" s="201"/>
      <c r="Q134" s="132"/>
      <c r="R134" s="194"/>
      <c r="S134" s="194"/>
      <c r="T134" s="194"/>
      <c r="U134" s="194">
        <v>-4</v>
      </c>
      <c r="V134" s="194"/>
      <c r="W134" s="194"/>
      <c r="X134" s="195">
        <f t="shared" ref="X134" si="8">IFERROR(IF(B134="x",N134+R134+U134,"-"),"")</f>
        <v>6</v>
      </c>
      <c r="Y134" s="196"/>
      <c r="Z134" s="197"/>
      <c r="AB134">
        <v>1</v>
      </c>
    </row>
    <row r="135" spans="1:28" x14ac:dyDescent="0.3">
      <c r="A135" s="64">
        <v>8</v>
      </c>
      <c r="B135" s="116" t="s">
        <v>264</v>
      </c>
      <c r="C135" s="145"/>
      <c r="D135" s="145"/>
      <c r="E135" s="145"/>
      <c r="F135" s="145"/>
      <c r="G135" s="145"/>
      <c r="H135" s="145"/>
      <c r="I135" s="140" t="str">
        <f>IFERROR(VLOOKUP($C135,Lager!$A:$B,2,FALSE),"")</f>
        <v/>
      </c>
      <c r="J135" s="140"/>
      <c r="K135" s="140"/>
      <c r="L135" s="140"/>
      <c r="M135" s="140"/>
      <c r="N135" s="146">
        <v>0</v>
      </c>
      <c r="O135" s="147"/>
      <c r="P135" s="147"/>
      <c r="Q135" s="130"/>
      <c r="R135" s="148"/>
      <c r="S135" s="148"/>
      <c r="T135" s="148"/>
      <c r="U135" s="148"/>
      <c r="V135" s="148"/>
      <c r="W135" s="148"/>
      <c r="X135" s="149">
        <f t="shared" ref="X135:X158" si="9">IFERROR(IF(B135="x",N135+R135+U135,"-"),"")</f>
        <v>0</v>
      </c>
      <c r="Y135" s="150"/>
      <c r="Z135" s="151"/>
      <c r="AB135">
        <v>1</v>
      </c>
    </row>
    <row r="136" spans="1:28" x14ac:dyDescent="0.3">
      <c r="A136" s="64">
        <v>9</v>
      </c>
      <c r="B136" s="116"/>
      <c r="C136" s="145"/>
      <c r="D136" s="145"/>
      <c r="E136" s="145"/>
      <c r="F136" s="145"/>
      <c r="G136" s="145"/>
      <c r="H136" s="145"/>
      <c r="I136" s="140" t="str">
        <f>IFERROR(VLOOKUP($C136,Lager!$A:$B,2,FALSE),"")</f>
        <v/>
      </c>
      <c r="J136" s="140"/>
      <c r="K136" s="140"/>
      <c r="L136" s="140"/>
      <c r="M136" s="140"/>
      <c r="N136" s="146" t="s">
        <v>423</v>
      </c>
      <c r="O136" s="147"/>
      <c r="P136" s="147"/>
      <c r="Q136" s="130"/>
      <c r="R136" s="148"/>
      <c r="S136" s="148"/>
      <c r="T136" s="148"/>
      <c r="U136" s="148"/>
      <c r="V136" s="148"/>
      <c r="W136" s="148"/>
      <c r="X136" s="149" t="str">
        <f t="shared" si="9"/>
        <v>-</v>
      </c>
      <c r="Y136" s="150"/>
      <c r="Z136" s="151"/>
      <c r="AB136">
        <v>1</v>
      </c>
    </row>
    <row r="137" spans="1:28" x14ac:dyDescent="0.3">
      <c r="A137" s="64">
        <v>10</v>
      </c>
      <c r="B137" s="116"/>
      <c r="C137" s="145"/>
      <c r="D137" s="145"/>
      <c r="E137" s="145"/>
      <c r="F137" s="145"/>
      <c r="G137" s="145"/>
      <c r="H137" s="145"/>
      <c r="I137" s="140" t="str">
        <f>IFERROR(VLOOKUP($C137,Lager!$A:$B,2,FALSE),"")</f>
        <v/>
      </c>
      <c r="J137" s="140"/>
      <c r="K137" s="140"/>
      <c r="L137" s="140"/>
      <c r="M137" s="140"/>
      <c r="N137" s="146" t="s">
        <v>423</v>
      </c>
      <c r="O137" s="147"/>
      <c r="P137" s="147"/>
      <c r="Q137" s="130"/>
      <c r="R137" s="148"/>
      <c r="S137" s="148"/>
      <c r="T137" s="148"/>
      <c r="U137" s="148"/>
      <c r="V137" s="148"/>
      <c r="W137" s="148"/>
      <c r="X137" s="149" t="str">
        <f t="shared" si="9"/>
        <v>-</v>
      </c>
      <c r="Y137" s="150"/>
      <c r="Z137" s="151"/>
      <c r="AB137">
        <v>1</v>
      </c>
    </row>
    <row r="138" spans="1:28" x14ac:dyDescent="0.3">
      <c r="A138" s="64">
        <v>11</v>
      </c>
      <c r="B138" s="116"/>
      <c r="C138" s="145"/>
      <c r="D138" s="145"/>
      <c r="E138" s="145"/>
      <c r="F138" s="145"/>
      <c r="G138" s="145"/>
      <c r="H138" s="145"/>
      <c r="I138" s="140" t="str">
        <f>IFERROR(VLOOKUP($C138,Lager!$A:$B,2,FALSE),"")</f>
        <v/>
      </c>
      <c r="J138" s="140"/>
      <c r="K138" s="140"/>
      <c r="L138" s="140"/>
      <c r="M138" s="140"/>
      <c r="N138" s="146" t="s">
        <v>423</v>
      </c>
      <c r="O138" s="147"/>
      <c r="P138" s="147"/>
      <c r="Q138" s="130"/>
      <c r="R138" s="148"/>
      <c r="S138" s="148"/>
      <c r="T138" s="148"/>
      <c r="U138" s="148"/>
      <c r="V138" s="148"/>
      <c r="W138" s="148"/>
      <c r="X138" s="149" t="str">
        <f t="shared" si="9"/>
        <v>-</v>
      </c>
      <c r="Y138" s="150"/>
      <c r="Z138" s="151"/>
      <c r="AB138">
        <v>1</v>
      </c>
    </row>
    <row r="139" spans="1:28" x14ac:dyDescent="0.3">
      <c r="A139" s="64">
        <v>12</v>
      </c>
      <c r="B139" s="116"/>
      <c r="C139" s="145"/>
      <c r="D139" s="145"/>
      <c r="E139" s="145"/>
      <c r="F139" s="145"/>
      <c r="G139" s="145"/>
      <c r="H139" s="145"/>
      <c r="I139" s="140" t="str">
        <f>IFERROR(VLOOKUP($C139,Lager!$A:$B,2,FALSE),"")</f>
        <v/>
      </c>
      <c r="J139" s="140"/>
      <c r="K139" s="140"/>
      <c r="L139" s="140"/>
      <c r="M139" s="140"/>
      <c r="N139" s="146" t="s">
        <v>423</v>
      </c>
      <c r="O139" s="147"/>
      <c r="P139" s="147"/>
      <c r="Q139" s="130"/>
      <c r="R139" s="148"/>
      <c r="S139" s="148"/>
      <c r="T139" s="148"/>
      <c r="U139" s="148"/>
      <c r="V139" s="148"/>
      <c r="W139" s="148"/>
      <c r="X139" s="149" t="str">
        <f t="shared" si="9"/>
        <v>-</v>
      </c>
      <c r="Y139" s="150"/>
      <c r="Z139" s="151"/>
      <c r="AB139">
        <v>1</v>
      </c>
    </row>
    <row r="140" spans="1:28" x14ac:dyDescent="0.3">
      <c r="A140" s="64">
        <v>13</v>
      </c>
      <c r="B140" s="116"/>
      <c r="C140" s="145"/>
      <c r="D140" s="145"/>
      <c r="E140" s="145"/>
      <c r="F140" s="145"/>
      <c r="G140" s="145"/>
      <c r="H140" s="145"/>
      <c r="I140" s="140" t="str">
        <f>IFERROR(VLOOKUP($C140,Lager!$A:$B,2,FALSE),"")</f>
        <v/>
      </c>
      <c r="J140" s="140"/>
      <c r="K140" s="140"/>
      <c r="L140" s="140"/>
      <c r="M140" s="140"/>
      <c r="N140" s="146" t="s">
        <v>423</v>
      </c>
      <c r="O140" s="147"/>
      <c r="P140" s="147"/>
      <c r="Q140" s="130"/>
      <c r="R140" s="148"/>
      <c r="S140" s="148"/>
      <c r="T140" s="148"/>
      <c r="U140" s="148"/>
      <c r="V140" s="148"/>
      <c r="W140" s="148"/>
      <c r="X140" s="149" t="str">
        <f t="shared" si="9"/>
        <v>-</v>
      </c>
      <c r="Y140" s="150"/>
      <c r="Z140" s="151"/>
      <c r="AB140">
        <v>1</v>
      </c>
    </row>
    <row r="141" spans="1:28" x14ac:dyDescent="0.3">
      <c r="A141" s="64">
        <v>14</v>
      </c>
      <c r="B141" s="116"/>
      <c r="C141" s="145"/>
      <c r="D141" s="145"/>
      <c r="E141" s="145"/>
      <c r="F141" s="145"/>
      <c r="G141" s="145"/>
      <c r="H141" s="145"/>
      <c r="I141" s="140" t="str">
        <f>IFERROR(VLOOKUP($C141,Lager!$A:$B,2,FALSE),"")</f>
        <v/>
      </c>
      <c r="J141" s="140"/>
      <c r="K141" s="140"/>
      <c r="L141" s="140"/>
      <c r="M141" s="140"/>
      <c r="N141" s="146" t="s">
        <v>423</v>
      </c>
      <c r="O141" s="147"/>
      <c r="P141" s="147"/>
      <c r="Q141" s="130"/>
      <c r="R141" s="148"/>
      <c r="S141" s="148"/>
      <c r="T141" s="148"/>
      <c r="U141" s="148"/>
      <c r="V141" s="148"/>
      <c r="W141" s="148"/>
      <c r="X141" s="149" t="str">
        <f t="shared" si="9"/>
        <v>-</v>
      </c>
      <c r="Y141" s="150"/>
      <c r="Z141" s="151"/>
      <c r="AB141">
        <v>1</v>
      </c>
    </row>
    <row r="142" spans="1:28" x14ac:dyDescent="0.3">
      <c r="A142" s="64">
        <v>15</v>
      </c>
      <c r="B142" s="116"/>
      <c r="C142" s="145"/>
      <c r="D142" s="145"/>
      <c r="E142" s="145"/>
      <c r="F142" s="145"/>
      <c r="G142" s="145"/>
      <c r="H142" s="145"/>
      <c r="I142" s="140" t="str">
        <f>IFERROR(VLOOKUP($C142,Lager!$A:$B,2,FALSE),"")</f>
        <v/>
      </c>
      <c r="J142" s="140"/>
      <c r="K142" s="140"/>
      <c r="L142" s="140"/>
      <c r="M142" s="140"/>
      <c r="N142" s="146" t="s">
        <v>423</v>
      </c>
      <c r="O142" s="147"/>
      <c r="P142" s="147"/>
      <c r="Q142" s="130"/>
      <c r="R142" s="148"/>
      <c r="S142" s="148"/>
      <c r="T142" s="148"/>
      <c r="U142" s="148"/>
      <c r="V142" s="148"/>
      <c r="W142" s="148"/>
      <c r="X142" s="149" t="str">
        <f t="shared" si="9"/>
        <v>-</v>
      </c>
      <c r="Y142" s="150"/>
      <c r="Z142" s="151"/>
      <c r="AB142">
        <v>1</v>
      </c>
    </row>
    <row r="143" spans="1:28" x14ac:dyDescent="0.3">
      <c r="A143" s="64">
        <v>16</v>
      </c>
      <c r="B143" s="116"/>
      <c r="C143" s="145"/>
      <c r="D143" s="145"/>
      <c r="E143" s="145"/>
      <c r="F143" s="145"/>
      <c r="G143" s="145"/>
      <c r="H143" s="145"/>
      <c r="I143" s="140" t="str">
        <f>IFERROR(VLOOKUP($C143,Lager!$A:$B,2,FALSE),"")</f>
        <v/>
      </c>
      <c r="J143" s="140"/>
      <c r="K143" s="140"/>
      <c r="L143" s="140"/>
      <c r="M143" s="140"/>
      <c r="N143" s="146" t="s">
        <v>423</v>
      </c>
      <c r="O143" s="147"/>
      <c r="P143" s="147"/>
      <c r="Q143" s="130"/>
      <c r="R143" s="148"/>
      <c r="S143" s="148"/>
      <c r="T143" s="148"/>
      <c r="U143" s="148"/>
      <c r="V143" s="148"/>
      <c r="W143" s="148"/>
      <c r="X143" s="149" t="str">
        <f t="shared" si="9"/>
        <v>-</v>
      </c>
      <c r="Y143" s="150"/>
      <c r="Z143" s="151"/>
      <c r="AB143">
        <v>1</v>
      </c>
    </row>
    <row r="144" spans="1:28" x14ac:dyDescent="0.3">
      <c r="A144" s="64">
        <v>17</v>
      </c>
      <c r="B144" s="116"/>
      <c r="C144" s="145"/>
      <c r="D144" s="145"/>
      <c r="E144" s="145"/>
      <c r="F144" s="145"/>
      <c r="G144" s="145"/>
      <c r="H144" s="145"/>
      <c r="I144" s="140" t="str">
        <f>IFERROR(VLOOKUP($C144,Lager!$A:$B,2,FALSE),"")</f>
        <v/>
      </c>
      <c r="J144" s="140"/>
      <c r="K144" s="140"/>
      <c r="L144" s="140"/>
      <c r="M144" s="140"/>
      <c r="N144" s="146" t="s">
        <v>423</v>
      </c>
      <c r="O144" s="147"/>
      <c r="P144" s="147"/>
      <c r="Q144" s="130"/>
      <c r="R144" s="148"/>
      <c r="S144" s="148"/>
      <c r="T144" s="148"/>
      <c r="U144" s="148"/>
      <c r="V144" s="148"/>
      <c r="W144" s="148"/>
      <c r="X144" s="149" t="str">
        <f t="shared" si="9"/>
        <v>-</v>
      </c>
      <c r="Y144" s="150"/>
      <c r="Z144" s="151"/>
      <c r="AB144">
        <v>1</v>
      </c>
    </row>
    <row r="145" spans="1:28" x14ac:dyDescent="0.3">
      <c r="A145" s="64">
        <v>18</v>
      </c>
      <c r="B145" s="116"/>
      <c r="C145" s="145"/>
      <c r="D145" s="145"/>
      <c r="E145" s="145"/>
      <c r="F145" s="145"/>
      <c r="G145" s="145"/>
      <c r="H145" s="145"/>
      <c r="I145" s="140" t="str">
        <f>IFERROR(VLOOKUP($C145,Lager!$A:$B,2,FALSE),"")</f>
        <v/>
      </c>
      <c r="J145" s="140"/>
      <c r="K145" s="140"/>
      <c r="L145" s="140"/>
      <c r="M145" s="140"/>
      <c r="N145" s="146" t="s">
        <v>423</v>
      </c>
      <c r="O145" s="147"/>
      <c r="P145" s="147"/>
      <c r="Q145" s="130"/>
      <c r="R145" s="148"/>
      <c r="S145" s="148"/>
      <c r="T145" s="148"/>
      <c r="U145" s="148"/>
      <c r="V145" s="148"/>
      <c r="W145" s="148"/>
      <c r="X145" s="149" t="str">
        <f t="shared" si="9"/>
        <v>-</v>
      </c>
      <c r="Y145" s="150"/>
      <c r="Z145" s="151"/>
      <c r="AB145">
        <v>1</v>
      </c>
    </row>
    <row r="146" spans="1:28" x14ac:dyDescent="0.3">
      <c r="A146" s="64">
        <v>19</v>
      </c>
      <c r="B146" s="116"/>
      <c r="C146" s="145"/>
      <c r="D146" s="145"/>
      <c r="E146" s="145"/>
      <c r="F146" s="145"/>
      <c r="G146" s="145"/>
      <c r="H146" s="145"/>
      <c r="I146" s="140" t="str">
        <f>IFERROR(VLOOKUP($C146,Lager!$A:$B,2,FALSE),"")</f>
        <v/>
      </c>
      <c r="J146" s="140"/>
      <c r="K146" s="140"/>
      <c r="L146" s="140"/>
      <c r="M146" s="140"/>
      <c r="N146" s="146" t="s">
        <v>423</v>
      </c>
      <c r="O146" s="147"/>
      <c r="P146" s="147"/>
      <c r="Q146" s="130"/>
      <c r="R146" s="148"/>
      <c r="S146" s="148"/>
      <c r="T146" s="148"/>
      <c r="U146" s="148"/>
      <c r="V146" s="148"/>
      <c r="W146" s="148"/>
      <c r="X146" s="149" t="str">
        <f t="shared" si="9"/>
        <v>-</v>
      </c>
      <c r="Y146" s="150"/>
      <c r="Z146" s="151"/>
      <c r="AB146">
        <v>1</v>
      </c>
    </row>
    <row r="147" spans="1:28" x14ac:dyDescent="0.3">
      <c r="A147" s="64">
        <v>20</v>
      </c>
      <c r="B147" s="116"/>
      <c r="C147" s="145"/>
      <c r="D147" s="145"/>
      <c r="E147" s="145"/>
      <c r="F147" s="145"/>
      <c r="G147" s="145"/>
      <c r="H147" s="145"/>
      <c r="I147" s="140" t="str">
        <f>IFERROR(VLOOKUP($C147,Lager!$A:$B,2,FALSE),"")</f>
        <v/>
      </c>
      <c r="J147" s="140"/>
      <c r="K147" s="140"/>
      <c r="L147" s="140"/>
      <c r="M147" s="140"/>
      <c r="N147" s="146" t="s">
        <v>423</v>
      </c>
      <c r="O147" s="147"/>
      <c r="P147" s="147"/>
      <c r="Q147" s="130"/>
      <c r="R147" s="148"/>
      <c r="S147" s="148"/>
      <c r="T147" s="148"/>
      <c r="U147" s="148"/>
      <c r="V147" s="148"/>
      <c r="W147" s="148"/>
      <c r="X147" s="149" t="str">
        <f t="shared" si="9"/>
        <v>-</v>
      </c>
      <c r="Y147" s="150"/>
      <c r="Z147" s="151"/>
      <c r="AB147">
        <v>1</v>
      </c>
    </row>
    <row r="148" spans="1:28" x14ac:dyDescent="0.3">
      <c r="A148" s="64">
        <v>21</v>
      </c>
      <c r="B148" s="116"/>
      <c r="C148" s="145"/>
      <c r="D148" s="145"/>
      <c r="E148" s="145"/>
      <c r="F148" s="145"/>
      <c r="G148" s="145"/>
      <c r="H148" s="145"/>
      <c r="I148" s="140" t="str">
        <f>IFERROR(VLOOKUP($C148,Lager!$A:$B,2,FALSE),"")</f>
        <v/>
      </c>
      <c r="J148" s="140"/>
      <c r="K148" s="140"/>
      <c r="L148" s="140"/>
      <c r="M148" s="140"/>
      <c r="N148" s="146" t="s">
        <v>423</v>
      </c>
      <c r="O148" s="147"/>
      <c r="P148" s="147"/>
      <c r="Q148" s="130"/>
      <c r="R148" s="148"/>
      <c r="S148" s="148"/>
      <c r="T148" s="148"/>
      <c r="U148" s="148"/>
      <c r="V148" s="148"/>
      <c r="W148" s="148"/>
      <c r="X148" s="149" t="str">
        <f t="shared" si="9"/>
        <v>-</v>
      </c>
      <c r="Y148" s="150"/>
      <c r="Z148" s="151"/>
      <c r="AB148">
        <v>1</v>
      </c>
    </row>
    <row r="149" spans="1:28" x14ac:dyDescent="0.3">
      <c r="A149" s="64">
        <v>22</v>
      </c>
      <c r="B149" s="116"/>
      <c r="C149" s="145"/>
      <c r="D149" s="145"/>
      <c r="E149" s="145"/>
      <c r="F149" s="145"/>
      <c r="G149" s="145"/>
      <c r="H149" s="145"/>
      <c r="I149" s="140" t="str">
        <f>IFERROR(VLOOKUP($C149,Lager!$A:$B,2,FALSE),"")</f>
        <v/>
      </c>
      <c r="J149" s="140"/>
      <c r="K149" s="140"/>
      <c r="L149" s="140"/>
      <c r="M149" s="140"/>
      <c r="N149" s="146" t="s">
        <v>423</v>
      </c>
      <c r="O149" s="147"/>
      <c r="P149" s="147"/>
      <c r="Q149" s="130"/>
      <c r="R149" s="148"/>
      <c r="S149" s="148"/>
      <c r="T149" s="148"/>
      <c r="U149" s="148"/>
      <c r="V149" s="148"/>
      <c r="W149" s="148"/>
      <c r="X149" s="149" t="str">
        <f t="shared" si="9"/>
        <v>-</v>
      </c>
      <c r="Y149" s="150"/>
      <c r="Z149" s="151"/>
      <c r="AB149">
        <v>1</v>
      </c>
    </row>
    <row r="150" spans="1:28" x14ac:dyDescent="0.3">
      <c r="A150" s="64">
        <v>23</v>
      </c>
      <c r="B150" s="116"/>
      <c r="C150" s="145"/>
      <c r="D150" s="145"/>
      <c r="E150" s="145"/>
      <c r="F150" s="145"/>
      <c r="G150" s="145"/>
      <c r="H150" s="145"/>
      <c r="I150" s="140" t="str">
        <f>IFERROR(VLOOKUP($C150,Lager!$A:$B,2,FALSE),"")</f>
        <v/>
      </c>
      <c r="J150" s="140"/>
      <c r="K150" s="140"/>
      <c r="L150" s="140"/>
      <c r="M150" s="140"/>
      <c r="N150" s="146" t="s">
        <v>423</v>
      </c>
      <c r="O150" s="147"/>
      <c r="P150" s="147"/>
      <c r="Q150" s="130"/>
      <c r="R150" s="148"/>
      <c r="S150" s="148"/>
      <c r="T150" s="148"/>
      <c r="U150" s="148"/>
      <c r="V150" s="148"/>
      <c r="W150" s="148"/>
      <c r="X150" s="149" t="str">
        <f t="shared" si="9"/>
        <v>-</v>
      </c>
      <c r="Y150" s="150"/>
      <c r="Z150" s="151"/>
      <c r="AB150">
        <v>1</v>
      </c>
    </row>
    <row r="151" spans="1:28" x14ac:dyDescent="0.3">
      <c r="A151" s="64">
        <v>24</v>
      </c>
      <c r="B151" s="116"/>
      <c r="C151" s="145"/>
      <c r="D151" s="145"/>
      <c r="E151" s="145"/>
      <c r="F151" s="145"/>
      <c r="G151" s="145"/>
      <c r="H151" s="145"/>
      <c r="I151" s="140" t="str">
        <f>IFERROR(VLOOKUP($C151,Lager!$A:$B,2,FALSE),"")</f>
        <v/>
      </c>
      <c r="J151" s="140"/>
      <c r="K151" s="140"/>
      <c r="L151" s="140"/>
      <c r="M151" s="140"/>
      <c r="N151" s="146" t="s">
        <v>423</v>
      </c>
      <c r="O151" s="147"/>
      <c r="P151" s="147"/>
      <c r="Q151" s="130"/>
      <c r="R151" s="148"/>
      <c r="S151" s="148"/>
      <c r="T151" s="148"/>
      <c r="U151" s="148"/>
      <c r="V151" s="148"/>
      <c r="W151" s="148"/>
      <c r="X151" s="149" t="str">
        <f t="shared" si="9"/>
        <v>-</v>
      </c>
      <c r="Y151" s="150"/>
      <c r="Z151" s="151"/>
      <c r="AB151">
        <v>1</v>
      </c>
    </row>
    <row r="152" spans="1:28" x14ac:dyDescent="0.3">
      <c r="A152" s="64">
        <v>25</v>
      </c>
      <c r="B152" s="116"/>
      <c r="C152" s="145"/>
      <c r="D152" s="145"/>
      <c r="E152" s="145"/>
      <c r="F152" s="145"/>
      <c r="G152" s="145"/>
      <c r="H152" s="145"/>
      <c r="I152" s="140" t="str">
        <f>IFERROR(VLOOKUP($C152,Lager!$A:$B,2,FALSE),"")</f>
        <v/>
      </c>
      <c r="J152" s="140"/>
      <c r="K152" s="140"/>
      <c r="L152" s="140"/>
      <c r="M152" s="140"/>
      <c r="N152" s="146" t="s">
        <v>423</v>
      </c>
      <c r="O152" s="147"/>
      <c r="P152" s="147"/>
      <c r="Q152" s="130"/>
      <c r="R152" s="148"/>
      <c r="S152" s="148"/>
      <c r="T152" s="148"/>
      <c r="U152" s="148"/>
      <c r="V152" s="148"/>
      <c r="W152" s="148"/>
      <c r="X152" s="149" t="str">
        <f t="shared" si="9"/>
        <v>-</v>
      </c>
      <c r="Y152" s="150"/>
      <c r="Z152" s="151"/>
      <c r="AB152">
        <v>1</v>
      </c>
    </row>
    <row r="153" spans="1:28" x14ac:dyDescent="0.3">
      <c r="A153" s="64">
        <v>26</v>
      </c>
      <c r="B153" s="116"/>
      <c r="C153" s="145"/>
      <c r="D153" s="145"/>
      <c r="E153" s="145"/>
      <c r="F153" s="145"/>
      <c r="G153" s="145"/>
      <c r="H153" s="145"/>
      <c r="I153" s="140" t="str">
        <f>IFERROR(VLOOKUP($C153,Lager!$A:$B,2,FALSE),"")</f>
        <v/>
      </c>
      <c r="J153" s="140"/>
      <c r="K153" s="140"/>
      <c r="L153" s="140"/>
      <c r="M153" s="140"/>
      <c r="N153" s="146" t="s">
        <v>423</v>
      </c>
      <c r="O153" s="147"/>
      <c r="P153" s="147"/>
      <c r="Q153" s="130"/>
      <c r="R153" s="148"/>
      <c r="S153" s="148"/>
      <c r="T153" s="148"/>
      <c r="U153" s="148"/>
      <c r="V153" s="148"/>
      <c r="W153" s="148"/>
      <c r="X153" s="149" t="str">
        <f t="shared" si="9"/>
        <v>-</v>
      </c>
      <c r="Y153" s="150"/>
      <c r="Z153" s="151"/>
      <c r="AB153">
        <v>1</v>
      </c>
    </row>
    <row r="154" spans="1:28" x14ac:dyDescent="0.3">
      <c r="A154" s="64">
        <v>27</v>
      </c>
      <c r="B154" s="116"/>
      <c r="C154" s="145"/>
      <c r="D154" s="145"/>
      <c r="E154" s="145"/>
      <c r="F154" s="145"/>
      <c r="G154" s="145"/>
      <c r="H154" s="145"/>
      <c r="I154" s="140" t="str">
        <f>IFERROR(VLOOKUP($C154,Lager!$A:$B,2,FALSE),"")</f>
        <v/>
      </c>
      <c r="J154" s="140"/>
      <c r="K154" s="140"/>
      <c r="L154" s="140"/>
      <c r="M154" s="140"/>
      <c r="N154" s="146" t="s">
        <v>423</v>
      </c>
      <c r="O154" s="147"/>
      <c r="P154" s="147"/>
      <c r="Q154" s="130"/>
      <c r="R154" s="148"/>
      <c r="S154" s="148"/>
      <c r="T154" s="148"/>
      <c r="U154" s="148"/>
      <c r="V154" s="148"/>
      <c r="W154" s="148"/>
      <c r="X154" s="149" t="str">
        <f t="shared" si="9"/>
        <v>-</v>
      </c>
      <c r="Y154" s="150"/>
      <c r="Z154" s="151"/>
      <c r="AB154">
        <v>1</v>
      </c>
    </row>
    <row r="155" spans="1:28" x14ac:dyDescent="0.3">
      <c r="A155" s="64">
        <v>28</v>
      </c>
      <c r="B155" s="116"/>
      <c r="C155" s="145"/>
      <c r="D155" s="145"/>
      <c r="E155" s="145"/>
      <c r="F155" s="145"/>
      <c r="G155" s="145"/>
      <c r="H155" s="145"/>
      <c r="I155" s="140" t="str">
        <f>IFERROR(VLOOKUP($C155,Lager!$A:$B,2,FALSE),"")</f>
        <v/>
      </c>
      <c r="J155" s="140"/>
      <c r="K155" s="140"/>
      <c r="L155" s="140"/>
      <c r="M155" s="140"/>
      <c r="N155" s="146" t="s">
        <v>423</v>
      </c>
      <c r="O155" s="147"/>
      <c r="P155" s="147"/>
      <c r="Q155" s="130"/>
      <c r="R155" s="148"/>
      <c r="S155" s="148"/>
      <c r="T155" s="148"/>
      <c r="U155" s="148"/>
      <c r="V155" s="148"/>
      <c r="W155" s="148"/>
      <c r="X155" s="149" t="str">
        <f t="shared" si="9"/>
        <v>-</v>
      </c>
      <c r="Y155" s="150"/>
      <c r="Z155" s="151"/>
      <c r="AB155">
        <v>1</v>
      </c>
    </row>
    <row r="156" spans="1:28" x14ac:dyDescent="0.3">
      <c r="A156" s="64">
        <v>29</v>
      </c>
      <c r="B156" s="116"/>
      <c r="C156" s="145"/>
      <c r="D156" s="145"/>
      <c r="E156" s="145"/>
      <c r="F156" s="145"/>
      <c r="G156" s="145"/>
      <c r="H156" s="145"/>
      <c r="I156" s="140" t="str">
        <f>IFERROR(VLOOKUP($C156,Lager!$A:$B,2,FALSE),"")</f>
        <v/>
      </c>
      <c r="J156" s="140"/>
      <c r="K156" s="140"/>
      <c r="L156" s="140"/>
      <c r="M156" s="140"/>
      <c r="N156" s="146" t="s">
        <v>423</v>
      </c>
      <c r="O156" s="147"/>
      <c r="P156" s="147"/>
      <c r="Q156" s="130"/>
      <c r="R156" s="148"/>
      <c r="S156" s="148"/>
      <c r="T156" s="148"/>
      <c r="U156" s="148"/>
      <c r="V156" s="148"/>
      <c r="W156" s="148"/>
      <c r="X156" s="149" t="str">
        <f t="shared" si="9"/>
        <v>-</v>
      </c>
      <c r="Y156" s="150"/>
      <c r="Z156" s="151"/>
      <c r="AB156">
        <v>1</v>
      </c>
    </row>
    <row r="157" spans="1:28" x14ac:dyDescent="0.3">
      <c r="A157" s="64">
        <v>30</v>
      </c>
      <c r="B157" s="116"/>
      <c r="C157" s="145"/>
      <c r="D157" s="145"/>
      <c r="E157" s="145"/>
      <c r="F157" s="145"/>
      <c r="G157" s="145"/>
      <c r="H157" s="145"/>
      <c r="I157" s="140" t="str">
        <f>IFERROR(VLOOKUP($C157,Lager!$A:$B,2,FALSE),"")</f>
        <v/>
      </c>
      <c r="J157" s="140"/>
      <c r="K157" s="140"/>
      <c r="L157" s="140"/>
      <c r="M157" s="140"/>
      <c r="N157" s="146" t="s">
        <v>423</v>
      </c>
      <c r="O157" s="147"/>
      <c r="P157" s="147"/>
      <c r="Q157" s="130"/>
      <c r="R157" s="148"/>
      <c r="S157" s="148"/>
      <c r="T157" s="148"/>
      <c r="U157" s="148"/>
      <c r="V157" s="148"/>
      <c r="W157" s="148"/>
      <c r="X157" s="149" t="str">
        <f t="shared" si="9"/>
        <v>-</v>
      </c>
      <c r="Y157" s="150"/>
      <c r="Z157" s="151"/>
      <c r="AB157">
        <v>1</v>
      </c>
    </row>
    <row r="158" spans="1:28" x14ac:dyDescent="0.3">
      <c r="A158" s="64">
        <v>31</v>
      </c>
      <c r="B158" s="116"/>
      <c r="C158" s="145"/>
      <c r="D158" s="145"/>
      <c r="E158" s="145"/>
      <c r="F158" s="145"/>
      <c r="G158" s="145"/>
      <c r="H158" s="145"/>
      <c r="I158" s="140" t="str">
        <f>IFERROR(VLOOKUP($C158,Lager!$A:$B,2,FALSE),"")</f>
        <v/>
      </c>
      <c r="J158" s="140"/>
      <c r="K158" s="140"/>
      <c r="L158" s="140"/>
      <c r="M158" s="140"/>
      <c r="N158" s="146" t="s">
        <v>423</v>
      </c>
      <c r="O158" s="147"/>
      <c r="P158" s="147"/>
      <c r="Q158" s="130"/>
      <c r="R158" s="148"/>
      <c r="S158" s="148"/>
      <c r="T158" s="148"/>
      <c r="U158" s="148"/>
      <c r="V158" s="148"/>
      <c r="W158" s="148"/>
      <c r="X158" s="149" t="str">
        <f t="shared" si="9"/>
        <v>-</v>
      </c>
      <c r="Y158" s="150"/>
      <c r="Z158" s="151"/>
      <c r="AB158">
        <v>1</v>
      </c>
    </row>
    <row r="159" spans="1:28" x14ac:dyDescent="0.3">
      <c r="A159" s="66" t="s">
        <v>267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79" t="s">
        <v>363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62" ht="6" customHeight="1" x14ac:dyDescent="0.3">
      <c r="A162" s="113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158" t="s">
        <v>5</v>
      </c>
      <c r="B163" s="158"/>
      <c r="C163" s="158"/>
      <c r="D163" s="158"/>
      <c r="E163" s="158"/>
      <c r="F163" s="158"/>
      <c r="G163" s="158" t="s">
        <v>386</v>
      </c>
      <c r="H163" s="158"/>
      <c r="I163" s="158"/>
      <c r="J163" s="158"/>
      <c r="K163" s="159" t="s">
        <v>387</v>
      </c>
      <c r="L163" s="158"/>
      <c r="M163" s="158" t="s">
        <v>388</v>
      </c>
      <c r="N163" s="158"/>
      <c r="O163" s="158"/>
      <c r="P163" s="158"/>
      <c r="Q163" s="158" t="s">
        <v>389</v>
      </c>
      <c r="R163" s="158"/>
      <c r="S163" s="136" t="s">
        <v>318</v>
      </c>
      <c r="T163" s="136"/>
      <c r="U163" s="136"/>
      <c r="V163" s="136"/>
      <c r="W163" s="136"/>
      <c r="X163" s="136"/>
      <c r="Y163" s="144" t="s">
        <v>327</v>
      </c>
      <c r="Z163" s="144"/>
      <c r="BJ163" s="26"/>
    </row>
    <row r="164" spans="1:62" x14ac:dyDescent="0.3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36" t="s">
        <v>324</v>
      </c>
      <c r="T164" s="136"/>
      <c r="U164" s="54" t="s">
        <v>323</v>
      </c>
      <c r="V164" s="136" t="s">
        <v>326</v>
      </c>
      <c r="W164" s="136"/>
      <c r="X164" s="54" t="s">
        <v>325</v>
      </c>
      <c r="Y164" s="144"/>
      <c r="Z164" s="144"/>
      <c r="AD164" s="55" t="s">
        <v>393</v>
      </c>
      <c r="BJ164" s="26"/>
    </row>
    <row r="165" spans="1:62" x14ac:dyDescent="0.3">
      <c r="A165" s="141"/>
      <c r="B165" s="141"/>
      <c r="C165" s="141"/>
      <c r="D165" s="141"/>
      <c r="E165" s="141"/>
      <c r="F165" s="141"/>
      <c r="G165" s="142" t="str">
        <f>IFERROR(VLOOKUP($A165,Erweiterungen!$C:$M,2,FALSE),"")</f>
        <v/>
      </c>
      <c r="H165" s="142"/>
      <c r="I165" s="142"/>
      <c r="J165" s="142"/>
      <c r="K165" s="140" t="str">
        <f>IFERROR(VLOOKUP($A165,Erweiterungen!$C:$M,3,FALSE),"")</f>
        <v/>
      </c>
      <c r="L165" s="140"/>
      <c r="M165" s="140" t="str">
        <f>IFERROR(VLOOKUP($A165,Erweiterungen!$C:$M,4,FALSE),"")</f>
        <v/>
      </c>
      <c r="N165" s="140"/>
      <c r="O165" s="140"/>
      <c r="P165" s="140"/>
      <c r="Q165" s="140" t="str">
        <f>IFERROR(VLOOKUP($A165,Erweiterungen!$C:$M,5,FALSE),"")</f>
        <v/>
      </c>
      <c r="R165" s="140"/>
      <c r="S165" s="143" t="str">
        <f>IFERROR(VLOOKUP($A165,Erweiterungen!$C:$M,7,FALSE),"")</f>
        <v/>
      </c>
      <c r="T165" s="143"/>
      <c r="U165" s="64" t="str">
        <f>IFERROR(VLOOKUP($A165,Erweiterungen!$C:$M,8,FALSE),"")</f>
        <v/>
      </c>
      <c r="V165" s="139" t="str">
        <f>IFERROR(VLOOKUP($A165,Erweiterungen!$C:$M,9,FALSE),"")</f>
        <v/>
      </c>
      <c r="W165" s="139"/>
      <c r="X165" s="64" t="str">
        <f>IFERROR(VLOOKUP($A165,Erweiterungen!$C:$M,10,FALSE),"")</f>
        <v/>
      </c>
      <c r="Y165" s="140" t="str">
        <f>IFERROR(VLOOKUP($A165,Erweiterungen!$C:$M,11,FALSE),"")</f>
        <v/>
      </c>
      <c r="Z165" s="140"/>
      <c r="AD165" s="26" t="s">
        <v>224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141"/>
      <c r="B166" s="141"/>
      <c r="C166" s="141"/>
      <c r="D166" s="141"/>
      <c r="E166" s="141"/>
      <c r="F166" s="141"/>
      <c r="G166" s="142" t="str">
        <f>IFERROR(VLOOKUP($A166,Erweiterungen!$C:$M,2,FALSE),"")</f>
        <v/>
      </c>
      <c r="H166" s="142"/>
      <c r="I166" s="142"/>
      <c r="J166" s="142"/>
      <c r="K166" s="140" t="str">
        <f>IFERROR(VLOOKUP($A166,Erweiterungen!$C:$M,3,FALSE),"")</f>
        <v/>
      </c>
      <c r="L166" s="140"/>
      <c r="M166" s="140" t="str">
        <f>IFERROR(VLOOKUP($A166,Erweiterungen!$C:$M,4,FALSE),"")</f>
        <v/>
      </c>
      <c r="N166" s="140"/>
      <c r="O166" s="140"/>
      <c r="P166" s="140"/>
      <c r="Q166" s="140" t="str">
        <f>IFERROR(VLOOKUP($A166,Erweiterungen!$C:$M,5,FALSE),"")</f>
        <v/>
      </c>
      <c r="R166" s="140"/>
      <c r="S166" s="143" t="str">
        <f>IFERROR(VLOOKUP($A166,Erweiterungen!$C:$M,7,FALSE),"")</f>
        <v/>
      </c>
      <c r="T166" s="143"/>
      <c r="U166" s="64" t="str">
        <f>IFERROR(VLOOKUP($A166,Erweiterungen!$C:$M,8,FALSE),"")</f>
        <v/>
      </c>
      <c r="V166" s="139" t="str">
        <f>IFERROR(VLOOKUP($A166,Erweiterungen!$C:$M,9,FALSE),"")</f>
        <v/>
      </c>
      <c r="W166" s="139"/>
      <c r="X166" s="64" t="str">
        <f>IFERROR(VLOOKUP($A166,Erweiterungen!$C:$M,10,FALSE),"")</f>
        <v/>
      </c>
      <c r="Y166" s="140" t="str">
        <f>IFERROR(VLOOKUP($A166,Erweiterungen!$C:$M,11,FALSE),"")</f>
        <v/>
      </c>
      <c r="Z166" s="140"/>
      <c r="AD166" s="26" t="s">
        <v>284</v>
      </c>
      <c r="AH166">
        <f t="shared" ref="AH166:AH184" ca="1" si="10">SUMIF($S$165:$T$185,$AD166,$U$165:$U$185)+SUMIF($X$165:$X$185,$AD166,$Y$165:$Z$185)</f>
        <v>0</v>
      </c>
      <c r="BJ166" s="26"/>
    </row>
    <row r="167" spans="1:62" x14ac:dyDescent="0.3">
      <c r="A167" s="141"/>
      <c r="B167" s="141"/>
      <c r="C167" s="141"/>
      <c r="D167" s="141"/>
      <c r="E167" s="141"/>
      <c r="F167" s="141"/>
      <c r="G167" s="142" t="str">
        <f>IFERROR(VLOOKUP($A167,Erweiterungen!$C:$M,2,FALSE),"")</f>
        <v/>
      </c>
      <c r="H167" s="142"/>
      <c r="I167" s="142"/>
      <c r="J167" s="142"/>
      <c r="K167" s="140" t="str">
        <f>IFERROR(VLOOKUP($A167,Erweiterungen!$C:$M,3,FALSE),"")</f>
        <v/>
      </c>
      <c r="L167" s="140"/>
      <c r="M167" s="140" t="str">
        <f>IFERROR(VLOOKUP($A167,Erweiterungen!$C:$M,4,FALSE),"")</f>
        <v/>
      </c>
      <c r="N167" s="140"/>
      <c r="O167" s="140"/>
      <c r="P167" s="140"/>
      <c r="Q167" s="140" t="str">
        <f>IFERROR(VLOOKUP($A167,Erweiterungen!$C:$M,5,FALSE),"")</f>
        <v/>
      </c>
      <c r="R167" s="140"/>
      <c r="S167" s="143" t="str">
        <f>IFERROR(VLOOKUP($A167,Erweiterungen!$C:$M,7,FALSE),"")</f>
        <v/>
      </c>
      <c r="T167" s="143"/>
      <c r="U167" s="64" t="str">
        <f>IFERROR(VLOOKUP($A167,Erweiterungen!$C:$M,8,FALSE),"")</f>
        <v/>
      </c>
      <c r="V167" s="139" t="str">
        <f>IFERROR(VLOOKUP($A167,Erweiterungen!$C:$M,9,FALSE),"")</f>
        <v/>
      </c>
      <c r="W167" s="139"/>
      <c r="X167" s="64" t="str">
        <f>IFERROR(VLOOKUP($A167,Erweiterungen!$C:$M,10,FALSE),"")</f>
        <v/>
      </c>
      <c r="Y167" s="140" t="str">
        <f>IFERROR(VLOOKUP($A167,Erweiterungen!$C:$M,11,FALSE),"")</f>
        <v/>
      </c>
      <c r="Z167" s="140"/>
      <c r="AD167" s="26" t="s">
        <v>195</v>
      </c>
      <c r="AH167">
        <f t="shared" ca="1" si="10"/>
        <v>0</v>
      </c>
      <c r="BJ167" s="60"/>
    </row>
    <row r="168" spans="1:62" x14ac:dyDescent="0.3">
      <c r="A168" s="141"/>
      <c r="B168" s="141"/>
      <c r="C168" s="141"/>
      <c r="D168" s="141"/>
      <c r="E168" s="141"/>
      <c r="F168" s="141"/>
      <c r="G168" s="142" t="str">
        <f>IFERROR(VLOOKUP($A168,Erweiterungen!$C:$M,2,FALSE),"")</f>
        <v/>
      </c>
      <c r="H168" s="142"/>
      <c r="I168" s="142"/>
      <c r="J168" s="142"/>
      <c r="K168" s="140" t="str">
        <f>IFERROR(VLOOKUP($A168,Erweiterungen!$C:$M,3,FALSE),"")</f>
        <v/>
      </c>
      <c r="L168" s="140"/>
      <c r="M168" s="140" t="str">
        <f>IFERROR(VLOOKUP($A168,Erweiterungen!$C:$M,4,FALSE),"")</f>
        <v/>
      </c>
      <c r="N168" s="140"/>
      <c r="O168" s="140"/>
      <c r="P168" s="140"/>
      <c r="Q168" s="140" t="str">
        <f>IFERROR(VLOOKUP($A168,Erweiterungen!$C:$M,5,FALSE),"")</f>
        <v/>
      </c>
      <c r="R168" s="140"/>
      <c r="S168" s="143" t="str">
        <f>IFERROR(VLOOKUP($A168,Erweiterungen!$C:$M,7,FALSE),"")</f>
        <v/>
      </c>
      <c r="T168" s="143"/>
      <c r="U168" s="64" t="str">
        <f>IFERROR(VLOOKUP($A168,Erweiterungen!$C:$M,8,FALSE),"")</f>
        <v/>
      </c>
      <c r="V168" s="139" t="str">
        <f>IFERROR(VLOOKUP($A168,Erweiterungen!$C:$M,9,FALSE),"")</f>
        <v/>
      </c>
      <c r="W168" s="139"/>
      <c r="X168" s="64" t="str">
        <f>IFERROR(VLOOKUP($A168,Erweiterungen!$C:$M,10,FALSE),"")</f>
        <v/>
      </c>
      <c r="Y168" s="140" t="str">
        <f>IFERROR(VLOOKUP($A168,Erweiterungen!$C:$M,11,FALSE),"")</f>
        <v/>
      </c>
      <c r="Z168" s="140"/>
      <c r="AD168" s="60" t="s">
        <v>252</v>
      </c>
      <c r="AH168">
        <f t="shared" ca="1" si="10"/>
        <v>0</v>
      </c>
      <c r="BJ168" s="26"/>
    </row>
    <row r="169" spans="1:62" x14ac:dyDescent="0.3">
      <c r="A169" s="141"/>
      <c r="B169" s="141"/>
      <c r="C169" s="141"/>
      <c r="D169" s="141"/>
      <c r="E169" s="141"/>
      <c r="F169" s="141"/>
      <c r="G169" s="142" t="str">
        <f>IFERROR(VLOOKUP($A169,Erweiterungen!$C:$M,2,FALSE),"")</f>
        <v/>
      </c>
      <c r="H169" s="142"/>
      <c r="I169" s="142"/>
      <c r="J169" s="142"/>
      <c r="K169" s="140" t="str">
        <f>IFERROR(VLOOKUP($A169,Erweiterungen!$C:$M,3,FALSE),"")</f>
        <v/>
      </c>
      <c r="L169" s="140"/>
      <c r="M169" s="140" t="str">
        <f>IFERROR(VLOOKUP($A169,Erweiterungen!$C:$M,4,FALSE),"")</f>
        <v/>
      </c>
      <c r="N169" s="140"/>
      <c r="O169" s="140"/>
      <c r="P169" s="140"/>
      <c r="Q169" s="140" t="str">
        <f>IFERROR(VLOOKUP($A169,Erweiterungen!$C:$M,5,FALSE),"")</f>
        <v/>
      </c>
      <c r="R169" s="140"/>
      <c r="S169" s="143" t="str">
        <f>IFERROR(VLOOKUP($A169,Erweiterungen!$C:$M,7,FALSE),"")</f>
        <v/>
      </c>
      <c r="T169" s="143"/>
      <c r="U169" s="64" t="str">
        <f>IFERROR(VLOOKUP($A169,Erweiterungen!$C:$M,8,FALSE),"")</f>
        <v/>
      </c>
      <c r="V169" s="139" t="str">
        <f>IFERROR(VLOOKUP($A169,Erweiterungen!$C:$M,9,FALSE),"")</f>
        <v/>
      </c>
      <c r="W169" s="139"/>
      <c r="X169" s="64" t="str">
        <f>IFERROR(VLOOKUP($A169,Erweiterungen!$C:$M,10,FALSE),"")</f>
        <v/>
      </c>
      <c r="Y169" s="140" t="str">
        <f>IFERROR(VLOOKUP($A169,Erweiterungen!$C:$M,11,FALSE),"")</f>
        <v/>
      </c>
      <c r="Z169" s="140"/>
      <c r="AD169" s="26" t="s">
        <v>199</v>
      </c>
      <c r="AH169">
        <f t="shared" ca="1" si="10"/>
        <v>0</v>
      </c>
      <c r="BJ169" s="26"/>
    </row>
    <row r="170" spans="1:62" x14ac:dyDescent="0.3">
      <c r="A170" s="141"/>
      <c r="B170" s="141"/>
      <c r="C170" s="141"/>
      <c r="D170" s="141"/>
      <c r="E170" s="141"/>
      <c r="F170" s="141"/>
      <c r="G170" s="142" t="str">
        <f>IFERROR(VLOOKUP($A170,Erweiterungen!$C:$M,2,FALSE),"")</f>
        <v/>
      </c>
      <c r="H170" s="142"/>
      <c r="I170" s="142"/>
      <c r="J170" s="142"/>
      <c r="K170" s="140" t="str">
        <f>IFERROR(VLOOKUP($A170,Erweiterungen!$C:$M,3,FALSE),"")</f>
        <v/>
      </c>
      <c r="L170" s="140"/>
      <c r="M170" s="140" t="str">
        <f>IFERROR(VLOOKUP($A170,Erweiterungen!$C:$M,4,FALSE),"")</f>
        <v/>
      </c>
      <c r="N170" s="140"/>
      <c r="O170" s="140"/>
      <c r="P170" s="140"/>
      <c r="Q170" s="140" t="str">
        <f>IFERROR(VLOOKUP($A170,Erweiterungen!$C:$M,5,FALSE),"")</f>
        <v/>
      </c>
      <c r="R170" s="140"/>
      <c r="S170" s="143" t="str">
        <f>IFERROR(VLOOKUP($A170,Erweiterungen!$C:$M,7,FALSE),"")</f>
        <v/>
      </c>
      <c r="T170" s="143"/>
      <c r="U170" s="64" t="str">
        <f>IFERROR(VLOOKUP($A170,Erweiterungen!$C:$M,8,FALSE),"")</f>
        <v/>
      </c>
      <c r="V170" s="139" t="str">
        <f>IFERROR(VLOOKUP($A170,Erweiterungen!$C:$M,9,FALSE),"")</f>
        <v/>
      </c>
      <c r="W170" s="139"/>
      <c r="X170" s="64" t="str">
        <f>IFERROR(VLOOKUP($A170,Erweiterungen!$C:$M,10,FALSE),"")</f>
        <v/>
      </c>
      <c r="Y170" s="140" t="str">
        <f>IFERROR(VLOOKUP($A170,Erweiterungen!$C:$M,11,FALSE),"")</f>
        <v/>
      </c>
      <c r="Z170" s="140"/>
      <c r="AD170" s="26" t="s">
        <v>268</v>
      </c>
      <c r="AH170">
        <f t="shared" ca="1" si="10"/>
        <v>0</v>
      </c>
      <c r="BJ170" s="60"/>
    </row>
    <row r="171" spans="1:62" x14ac:dyDescent="0.3">
      <c r="A171" s="141"/>
      <c r="B171" s="141"/>
      <c r="C171" s="141"/>
      <c r="D171" s="141"/>
      <c r="E171" s="141"/>
      <c r="F171" s="141"/>
      <c r="G171" s="142" t="str">
        <f>IFERROR(VLOOKUP($A171,Erweiterungen!$C:$M,2,FALSE),"")</f>
        <v/>
      </c>
      <c r="H171" s="142"/>
      <c r="I171" s="142"/>
      <c r="J171" s="142"/>
      <c r="K171" s="140" t="str">
        <f>IFERROR(VLOOKUP($A171,Erweiterungen!$C:$M,3,FALSE),"")</f>
        <v/>
      </c>
      <c r="L171" s="140"/>
      <c r="M171" s="140" t="str">
        <f>IFERROR(VLOOKUP($A171,Erweiterungen!$C:$M,4,FALSE),"")</f>
        <v/>
      </c>
      <c r="N171" s="140"/>
      <c r="O171" s="140"/>
      <c r="P171" s="140"/>
      <c r="Q171" s="140" t="str">
        <f>IFERROR(VLOOKUP($A171,Erweiterungen!$C:$M,5,FALSE),"")</f>
        <v/>
      </c>
      <c r="R171" s="140"/>
      <c r="S171" s="143" t="str">
        <f>IFERROR(VLOOKUP($A171,Erweiterungen!$C:$M,7,FALSE),"")</f>
        <v/>
      </c>
      <c r="T171" s="143"/>
      <c r="U171" s="64" t="str">
        <f>IFERROR(VLOOKUP($A171,Erweiterungen!$C:$M,8,FALSE),"")</f>
        <v/>
      </c>
      <c r="V171" s="139" t="str">
        <f>IFERROR(VLOOKUP($A171,Erweiterungen!$C:$M,9,FALSE),"")</f>
        <v/>
      </c>
      <c r="W171" s="139"/>
      <c r="X171" s="64" t="str">
        <f>IFERROR(VLOOKUP($A171,Erweiterungen!$C:$M,10,FALSE),"")</f>
        <v/>
      </c>
      <c r="Y171" s="140" t="str">
        <f>IFERROR(VLOOKUP($A171,Erweiterungen!$C:$M,11,FALSE),"")</f>
        <v/>
      </c>
      <c r="Z171" s="140"/>
      <c r="AD171" s="60" t="s">
        <v>308</v>
      </c>
      <c r="AH171">
        <f t="shared" ca="1" si="10"/>
        <v>0</v>
      </c>
      <c r="BJ171" s="26"/>
    </row>
    <row r="172" spans="1:62" x14ac:dyDescent="0.3">
      <c r="A172" s="141"/>
      <c r="B172" s="141"/>
      <c r="C172" s="141"/>
      <c r="D172" s="141"/>
      <c r="E172" s="141"/>
      <c r="F172" s="141"/>
      <c r="G172" s="142" t="str">
        <f>IFERROR(VLOOKUP($A172,Erweiterungen!$C:$M,2,FALSE),"")</f>
        <v/>
      </c>
      <c r="H172" s="142"/>
      <c r="I172" s="142"/>
      <c r="J172" s="142"/>
      <c r="K172" s="140" t="str">
        <f>IFERROR(VLOOKUP($A172,Erweiterungen!$C:$M,3,FALSE),"")</f>
        <v/>
      </c>
      <c r="L172" s="140"/>
      <c r="M172" s="140" t="str">
        <f>IFERROR(VLOOKUP($A172,Erweiterungen!$C:$M,4,FALSE),"")</f>
        <v/>
      </c>
      <c r="N172" s="140"/>
      <c r="O172" s="140"/>
      <c r="P172" s="140"/>
      <c r="Q172" s="140" t="str">
        <f>IFERROR(VLOOKUP($A172,Erweiterungen!$C:$M,5,FALSE),"")</f>
        <v/>
      </c>
      <c r="R172" s="140"/>
      <c r="S172" s="143" t="str">
        <f>IFERROR(VLOOKUP($A172,Erweiterungen!$C:$M,7,FALSE),"")</f>
        <v/>
      </c>
      <c r="T172" s="143"/>
      <c r="U172" s="64" t="str">
        <f>IFERROR(VLOOKUP($A172,Erweiterungen!$C:$M,8,FALSE),"")</f>
        <v/>
      </c>
      <c r="V172" s="139" t="str">
        <f>IFERROR(VLOOKUP($A172,Erweiterungen!$C:$M,9,FALSE),"")</f>
        <v/>
      </c>
      <c r="W172" s="139"/>
      <c r="X172" s="64" t="str">
        <f>IFERROR(VLOOKUP($A172,Erweiterungen!$C:$M,10,FALSE),"")</f>
        <v/>
      </c>
      <c r="Y172" s="140" t="str">
        <f>IFERROR(VLOOKUP($A172,Erweiterungen!$C:$M,11,FALSE),"")</f>
        <v/>
      </c>
      <c r="Z172" s="140"/>
      <c r="AD172" s="26" t="s">
        <v>205</v>
      </c>
      <c r="AH172">
        <f t="shared" ca="1" si="10"/>
        <v>0</v>
      </c>
      <c r="BJ172" s="26"/>
    </row>
    <row r="173" spans="1:62" x14ac:dyDescent="0.3">
      <c r="A173" s="141"/>
      <c r="B173" s="141"/>
      <c r="C173" s="141"/>
      <c r="D173" s="141"/>
      <c r="E173" s="141"/>
      <c r="F173" s="141"/>
      <c r="G173" s="142" t="str">
        <f>IFERROR(VLOOKUP($A173,Erweiterungen!$C:$M,2,FALSE),"")</f>
        <v/>
      </c>
      <c r="H173" s="142"/>
      <c r="I173" s="142"/>
      <c r="J173" s="142"/>
      <c r="K173" s="140" t="str">
        <f>IFERROR(VLOOKUP($A173,Erweiterungen!$C:$M,3,FALSE),"")</f>
        <v/>
      </c>
      <c r="L173" s="140"/>
      <c r="M173" s="140" t="str">
        <f>IFERROR(VLOOKUP($A173,Erweiterungen!$C:$M,4,FALSE),"")</f>
        <v/>
      </c>
      <c r="N173" s="140"/>
      <c r="O173" s="140"/>
      <c r="P173" s="140"/>
      <c r="Q173" s="140" t="str">
        <f>IFERROR(VLOOKUP($A173,Erweiterungen!$C:$M,5,FALSE),"")</f>
        <v/>
      </c>
      <c r="R173" s="140"/>
      <c r="S173" s="143" t="str">
        <f>IFERROR(VLOOKUP($A173,Erweiterungen!$C:$M,7,FALSE),"")</f>
        <v/>
      </c>
      <c r="T173" s="143"/>
      <c r="U173" s="64" t="str">
        <f>IFERROR(VLOOKUP($A173,Erweiterungen!$C:$M,8,FALSE),"")</f>
        <v/>
      </c>
      <c r="V173" s="139" t="str">
        <f>IFERROR(VLOOKUP($A173,Erweiterungen!$C:$M,9,FALSE),"")</f>
        <v/>
      </c>
      <c r="W173" s="139"/>
      <c r="X173" s="64" t="str">
        <f>IFERROR(VLOOKUP($A173,Erweiterungen!$C:$M,10,FALSE),"")</f>
        <v/>
      </c>
      <c r="Y173" s="140" t="str">
        <f>IFERROR(VLOOKUP($A173,Erweiterungen!$C:$M,11,FALSE),"")</f>
        <v/>
      </c>
      <c r="Z173" s="140"/>
      <c r="AD173" s="26" t="s">
        <v>221</v>
      </c>
      <c r="AH173">
        <f t="shared" ca="1" si="10"/>
        <v>0</v>
      </c>
      <c r="BJ173" s="26"/>
    </row>
    <row r="174" spans="1:62" x14ac:dyDescent="0.3">
      <c r="A174" s="141"/>
      <c r="B174" s="141"/>
      <c r="C174" s="141"/>
      <c r="D174" s="141"/>
      <c r="E174" s="141"/>
      <c r="F174" s="141"/>
      <c r="G174" s="142" t="str">
        <f>IFERROR(VLOOKUP($A174,Erweiterungen!$C:$M,2,FALSE),"")</f>
        <v/>
      </c>
      <c r="H174" s="142"/>
      <c r="I174" s="142"/>
      <c r="J174" s="142"/>
      <c r="K174" s="140" t="str">
        <f>IFERROR(VLOOKUP($A174,Erweiterungen!$C:$M,3,FALSE),"")</f>
        <v/>
      </c>
      <c r="L174" s="140"/>
      <c r="M174" s="140" t="str">
        <f>IFERROR(VLOOKUP($A174,Erweiterungen!$C:$M,4,FALSE),"")</f>
        <v/>
      </c>
      <c r="N174" s="140"/>
      <c r="O174" s="140"/>
      <c r="P174" s="140"/>
      <c r="Q174" s="140" t="str">
        <f>IFERROR(VLOOKUP($A174,Erweiterungen!$C:$M,5,FALSE),"")</f>
        <v/>
      </c>
      <c r="R174" s="140"/>
      <c r="S174" s="143" t="str">
        <f>IFERROR(VLOOKUP($A174,Erweiterungen!$C:$M,7,FALSE),"")</f>
        <v/>
      </c>
      <c r="T174" s="143"/>
      <c r="U174" s="64" t="str">
        <f>IFERROR(VLOOKUP($A174,Erweiterungen!$C:$M,8,FALSE),"")</f>
        <v/>
      </c>
      <c r="V174" s="139" t="str">
        <f>IFERROR(VLOOKUP($A174,Erweiterungen!$C:$M,9,FALSE),"")</f>
        <v/>
      </c>
      <c r="W174" s="139"/>
      <c r="X174" s="64" t="str">
        <f>IFERROR(VLOOKUP($A174,Erweiterungen!$C:$M,10,FALSE),"")</f>
        <v/>
      </c>
      <c r="Y174" s="140" t="str">
        <f>IFERROR(VLOOKUP($A174,Erweiterungen!$C:$M,11,FALSE),"")</f>
        <v/>
      </c>
      <c r="Z174" s="140"/>
      <c r="AD174" s="26" t="s">
        <v>208</v>
      </c>
      <c r="AH174">
        <f t="shared" ca="1" si="10"/>
        <v>0</v>
      </c>
      <c r="BJ174" s="60"/>
    </row>
    <row r="175" spans="1:62" x14ac:dyDescent="0.3">
      <c r="A175" s="141"/>
      <c r="B175" s="141"/>
      <c r="C175" s="141"/>
      <c r="D175" s="141"/>
      <c r="E175" s="141"/>
      <c r="F175" s="141"/>
      <c r="G175" s="142" t="str">
        <f>IFERROR(VLOOKUP($A175,Erweiterungen!$C:$M,2,FALSE),"")</f>
        <v/>
      </c>
      <c r="H175" s="142"/>
      <c r="I175" s="142"/>
      <c r="J175" s="142"/>
      <c r="K175" s="140" t="str">
        <f>IFERROR(VLOOKUP($A175,Erweiterungen!$C:$M,3,FALSE),"")</f>
        <v/>
      </c>
      <c r="L175" s="140"/>
      <c r="M175" s="140" t="str">
        <f>IFERROR(VLOOKUP($A175,Erweiterungen!$C:$M,4,FALSE),"")</f>
        <v/>
      </c>
      <c r="N175" s="140"/>
      <c r="O175" s="140"/>
      <c r="P175" s="140"/>
      <c r="Q175" s="140" t="str">
        <f>IFERROR(VLOOKUP($A175,Erweiterungen!$C:$M,5,FALSE),"")</f>
        <v/>
      </c>
      <c r="R175" s="140"/>
      <c r="S175" s="143" t="str">
        <f>IFERROR(VLOOKUP($A175,Erweiterungen!$C:$M,7,FALSE),"")</f>
        <v/>
      </c>
      <c r="T175" s="143"/>
      <c r="U175" s="64" t="str">
        <f>IFERROR(VLOOKUP($A175,Erweiterungen!$C:$M,8,FALSE),"")</f>
        <v/>
      </c>
      <c r="V175" s="139" t="str">
        <f>IFERROR(VLOOKUP($A175,Erweiterungen!$C:$M,9,FALSE),"")</f>
        <v/>
      </c>
      <c r="W175" s="139"/>
      <c r="X175" s="64" t="str">
        <f>IFERROR(VLOOKUP($A175,Erweiterungen!$C:$M,10,FALSE),"")</f>
        <v/>
      </c>
      <c r="Y175" s="140" t="str">
        <f>IFERROR(VLOOKUP($A175,Erweiterungen!$C:$M,11,FALSE),"")</f>
        <v/>
      </c>
      <c r="Z175" s="140"/>
      <c r="AD175" s="60" t="s">
        <v>253</v>
      </c>
      <c r="AH175">
        <f t="shared" ca="1" si="10"/>
        <v>0</v>
      </c>
      <c r="BJ175" s="26"/>
    </row>
    <row r="176" spans="1:62" x14ac:dyDescent="0.3">
      <c r="A176" s="141"/>
      <c r="B176" s="141"/>
      <c r="C176" s="141"/>
      <c r="D176" s="141"/>
      <c r="E176" s="141"/>
      <c r="F176" s="141"/>
      <c r="G176" s="142" t="str">
        <f>IFERROR(VLOOKUP($A176,Erweiterungen!$C:$M,2,FALSE),"")</f>
        <v/>
      </c>
      <c r="H176" s="142"/>
      <c r="I176" s="142"/>
      <c r="J176" s="142"/>
      <c r="K176" s="140" t="str">
        <f>IFERROR(VLOOKUP($A176,Erweiterungen!$C:$M,3,FALSE),"")</f>
        <v/>
      </c>
      <c r="L176" s="140"/>
      <c r="M176" s="140" t="str">
        <f>IFERROR(VLOOKUP($A176,Erweiterungen!$C:$M,4,FALSE),"")</f>
        <v/>
      </c>
      <c r="N176" s="140"/>
      <c r="O176" s="140"/>
      <c r="P176" s="140"/>
      <c r="Q176" s="140" t="str">
        <f>IFERROR(VLOOKUP($A176,Erweiterungen!$C:$M,5,FALSE),"")</f>
        <v/>
      </c>
      <c r="R176" s="140"/>
      <c r="S176" s="143" t="str">
        <f>IFERROR(VLOOKUP($A176,Erweiterungen!$C:$M,7,FALSE),"")</f>
        <v/>
      </c>
      <c r="T176" s="143"/>
      <c r="U176" s="64" t="str">
        <f>IFERROR(VLOOKUP($A176,Erweiterungen!$C:$M,8,FALSE),"")</f>
        <v/>
      </c>
      <c r="V176" s="139" t="str">
        <f>IFERROR(VLOOKUP($A176,Erweiterungen!$C:$M,9,FALSE),"")</f>
        <v/>
      </c>
      <c r="W176" s="139"/>
      <c r="X176" s="64" t="str">
        <f>IFERROR(VLOOKUP($A176,Erweiterungen!$C:$M,10,FALSE),"")</f>
        <v/>
      </c>
      <c r="Y176" s="140" t="str">
        <f>IFERROR(VLOOKUP($A176,Erweiterungen!$C:$M,11,FALSE),"")</f>
        <v/>
      </c>
      <c r="Z176" s="140"/>
      <c r="AD176" s="26" t="s">
        <v>368</v>
      </c>
      <c r="AH176">
        <f t="shared" ca="1" si="10"/>
        <v>0</v>
      </c>
      <c r="BJ176" s="26"/>
    </row>
    <row r="177" spans="1:62" x14ac:dyDescent="0.3">
      <c r="A177" s="141"/>
      <c r="B177" s="141"/>
      <c r="C177" s="141"/>
      <c r="D177" s="141"/>
      <c r="E177" s="141"/>
      <c r="F177" s="141"/>
      <c r="G177" s="142" t="str">
        <f>IFERROR(VLOOKUP($A177,Erweiterungen!$C:$M,2,FALSE),"")</f>
        <v/>
      </c>
      <c r="H177" s="142"/>
      <c r="I177" s="142"/>
      <c r="J177" s="142"/>
      <c r="K177" s="140" t="str">
        <f>IFERROR(VLOOKUP($A177,Erweiterungen!$C:$M,3,FALSE),"")</f>
        <v/>
      </c>
      <c r="L177" s="140"/>
      <c r="M177" s="140" t="str">
        <f>IFERROR(VLOOKUP($A177,Erweiterungen!$C:$M,4,FALSE),"")</f>
        <v/>
      </c>
      <c r="N177" s="140"/>
      <c r="O177" s="140"/>
      <c r="P177" s="140"/>
      <c r="Q177" s="140" t="str">
        <f>IFERROR(VLOOKUP($A177,Erweiterungen!$C:$M,5,FALSE),"")</f>
        <v/>
      </c>
      <c r="R177" s="140"/>
      <c r="S177" s="143" t="str">
        <f>IFERROR(VLOOKUP($A177,Erweiterungen!$C:$M,7,FALSE),"")</f>
        <v/>
      </c>
      <c r="T177" s="143"/>
      <c r="U177" s="64" t="str">
        <f>IFERROR(VLOOKUP($A177,Erweiterungen!$C:$M,8,FALSE),"")</f>
        <v/>
      </c>
      <c r="V177" s="139" t="str">
        <f>IFERROR(VLOOKUP($A177,Erweiterungen!$C:$M,9,FALSE),"")</f>
        <v/>
      </c>
      <c r="W177" s="139"/>
      <c r="X177" s="64" t="str">
        <f>IFERROR(VLOOKUP($A177,Erweiterungen!$C:$M,10,FALSE),"")</f>
        <v/>
      </c>
      <c r="Y177" s="140" t="str">
        <f>IFERROR(VLOOKUP($A177,Erweiterungen!$C:$M,11,FALSE),"")</f>
        <v/>
      </c>
      <c r="Z177" s="140"/>
      <c r="AD177" s="26" t="s">
        <v>361</v>
      </c>
      <c r="AH177">
        <f t="shared" ca="1" si="10"/>
        <v>0</v>
      </c>
      <c r="BJ177" s="26"/>
    </row>
    <row r="178" spans="1:62" x14ac:dyDescent="0.3">
      <c r="A178" s="141"/>
      <c r="B178" s="141"/>
      <c r="C178" s="141"/>
      <c r="D178" s="141"/>
      <c r="E178" s="141"/>
      <c r="F178" s="141"/>
      <c r="G178" s="142" t="str">
        <f>IFERROR(VLOOKUP($A178,Erweiterungen!$C:$M,2,FALSE),"")</f>
        <v/>
      </c>
      <c r="H178" s="142"/>
      <c r="I178" s="142"/>
      <c r="J178" s="142"/>
      <c r="K178" s="140" t="str">
        <f>IFERROR(VLOOKUP($A178,Erweiterungen!$C:$M,3,FALSE),"")</f>
        <v/>
      </c>
      <c r="L178" s="140"/>
      <c r="M178" s="140" t="str">
        <f>IFERROR(VLOOKUP($A178,Erweiterungen!$C:$M,4,FALSE),"")</f>
        <v/>
      </c>
      <c r="N178" s="140"/>
      <c r="O178" s="140"/>
      <c r="P178" s="140"/>
      <c r="Q178" s="140" t="str">
        <f>IFERROR(VLOOKUP($A178,Erweiterungen!$C:$M,5,FALSE),"")</f>
        <v/>
      </c>
      <c r="R178" s="140"/>
      <c r="S178" s="143" t="str">
        <f>IFERROR(VLOOKUP($A178,Erweiterungen!$C:$M,7,FALSE),"")</f>
        <v/>
      </c>
      <c r="T178" s="143"/>
      <c r="U178" s="64" t="str">
        <f>IFERROR(VLOOKUP($A178,Erweiterungen!$C:$M,8,FALSE),"")</f>
        <v/>
      </c>
      <c r="V178" s="139" t="str">
        <f>IFERROR(VLOOKUP($A178,Erweiterungen!$C:$M,9,FALSE),"")</f>
        <v/>
      </c>
      <c r="W178" s="139"/>
      <c r="X178" s="64" t="str">
        <f>IFERROR(VLOOKUP($A178,Erweiterungen!$C:$M,10,FALSE),"")</f>
        <v/>
      </c>
      <c r="Y178" s="140" t="str">
        <f>IFERROR(VLOOKUP($A178,Erweiterungen!$C:$M,11,FALSE),"")</f>
        <v/>
      </c>
      <c r="Z178" s="140"/>
      <c r="AD178" s="26" t="s">
        <v>365</v>
      </c>
      <c r="AH178">
        <f t="shared" ca="1" si="10"/>
        <v>0</v>
      </c>
      <c r="BJ178" s="60"/>
    </row>
    <row r="179" spans="1:62" x14ac:dyDescent="0.3">
      <c r="A179" s="141"/>
      <c r="B179" s="141"/>
      <c r="C179" s="141"/>
      <c r="D179" s="141"/>
      <c r="E179" s="141"/>
      <c r="F179" s="141"/>
      <c r="G179" s="142" t="str">
        <f>IFERROR(VLOOKUP($A179,Erweiterungen!$C:$M,2,FALSE),"")</f>
        <v/>
      </c>
      <c r="H179" s="142"/>
      <c r="I179" s="142"/>
      <c r="J179" s="142"/>
      <c r="K179" s="140" t="str">
        <f>IFERROR(VLOOKUP($A179,Erweiterungen!$C:$M,3,FALSE),"")</f>
        <v/>
      </c>
      <c r="L179" s="140"/>
      <c r="M179" s="140" t="str">
        <f>IFERROR(VLOOKUP($A179,Erweiterungen!$C:$M,4,FALSE),"")</f>
        <v/>
      </c>
      <c r="N179" s="140"/>
      <c r="O179" s="140"/>
      <c r="P179" s="140"/>
      <c r="Q179" s="140" t="str">
        <f>IFERROR(VLOOKUP($A179,Erweiterungen!$C:$M,5,FALSE),"")</f>
        <v/>
      </c>
      <c r="R179" s="140"/>
      <c r="S179" s="143" t="str">
        <f>IFERROR(VLOOKUP($A179,Erweiterungen!$C:$M,7,FALSE),"")</f>
        <v/>
      </c>
      <c r="T179" s="143"/>
      <c r="U179" s="64" t="str">
        <f>IFERROR(VLOOKUP($A179,Erweiterungen!$C:$M,8,FALSE),"")</f>
        <v/>
      </c>
      <c r="V179" s="139" t="str">
        <f>IFERROR(VLOOKUP($A179,Erweiterungen!$C:$M,9,FALSE),"")</f>
        <v/>
      </c>
      <c r="W179" s="139"/>
      <c r="X179" s="64" t="str">
        <f>IFERROR(VLOOKUP($A179,Erweiterungen!$C:$M,10,FALSE),"")</f>
        <v/>
      </c>
      <c r="Y179" s="140" t="str">
        <f>IFERROR(VLOOKUP($A179,Erweiterungen!$C:$M,11,FALSE),"")</f>
        <v/>
      </c>
      <c r="Z179" s="140"/>
      <c r="AD179" s="60" t="s">
        <v>197</v>
      </c>
      <c r="AH179">
        <f t="shared" ca="1" si="10"/>
        <v>0</v>
      </c>
      <c r="BJ179" s="26"/>
    </row>
    <row r="180" spans="1:62" x14ac:dyDescent="0.3">
      <c r="A180" s="141"/>
      <c r="B180" s="141"/>
      <c r="C180" s="141"/>
      <c r="D180" s="141"/>
      <c r="E180" s="141"/>
      <c r="F180" s="141"/>
      <c r="G180" s="142" t="str">
        <f>IFERROR(VLOOKUP($A180,Erweiterungen!$C:$M,2,FALSE),"")</f>
        <v/>
      </c>
      <c r="H180" s="142"/>
      <c r="I180" s="142"/>
      <c r="J180" s="142"/>
      <c r="K180" s="140" t="str">
        <f>IFERROR(VLOOKUP($A180,Erweiterungen!$C:$M,3,FALSE),"")</f>
        <v/>
      </c>
      <c r="L180" s="140"/>
      <c r="M180" s="140" t="str">
        <f>IFERROR(VLOOKUP($A180,Erweiterungen!$C:$M,4,FALSE),"")</f>
        <v/>
      </c>
      <c r="N180" s="140"/>
      <c r="O180" s="140"/>
      <c r="P180" s="140"/>
      <c r="Q180" s="140" t="str">
        <f>IFERROR(VLOOKUP($A180,Erweiterungen!$C:$M,5,FALSE),"")</f>
        <v/>
      </c>
      <c r="R180" s="140"/>
      <c r="S180" s="143" t="str">
        <f>IFERROR(VLOOKUP($A180,Erweiterungen!$C:$M,7,FALSE),"")</f>
        <v/>
      </c>
      <c r="T180" s="143"/>
      <c r="U180" s="64" t="str">
        <f>IFERROR(VLOOKUP($A180,Erweiterungen!$C:$M,8,FALSE),"")</f>
        <v/>
      </c>
      <c r="V180" s="139" t="str">
        <f>IFERROR(VLOOKUP($A180,Erweiterungen!$C:$M,9,FALSE),"")</f>
        <v/>
      </c>
      <c r="W180" s="139"/>
      <c r="X180" s="64" t="str">
        <f>IFERROR(VLOOKUP($A180,Erweiterungen!$C:$M,10,FALSE),"")</f>
        <v/>
      </c>
      <c r="Y180" s="140" t="str">
        <f>IFERROR(VLOOKUP($A180,Erweiterungen!$C:$M,11,FALSE),"")</f>
        <v/>
      </c>
      <c r="Z180" s="140"/>
      <c r="AD180" s="26" t="s">
        <v>360</v>
      </c>
      <c r="AH180">
        <f t="shared" ca="1" si="10"/>
        <v>0</v>
      </c>
      <c r="BJ180" s="26"/>
    </row>
    <row r="181" spans="1:62" x14ac:dyDescent="0.3">
      <c r="A181" s="141"/>
      <c r="B181" s="141"/>
      <c r="C181" s="141"/>
      <c r="D181" s="141"/>
      <c r="E181" s="141"/>
      <c r="F181" s="141"/>
      <c r="G181" s="142" t="str">
        <f>IFERROR(VLOOKUP($A181,Erweiterungen!$C:$M,2,FALSE),"")</f>
        <v/>
      </c>
      <c r="H181" s="142"/>
      <c r="I181" s="142"/>
      <c r="J181" s="142"/>
      <c r="K181" s="140" t="str">
        <f>IFERROR(VLOOKUP($A181,Erweiterungen!$C:$M,3,FALSE),"")</f>
        <v/>
      </c>
      <c r="L181" s="140"/>
      <c r="M181" s="140" t="str">
        <f>IFERROR(VLOOKUP($A181,Erweiterungen!$C:$M,4,FALSE),"")</f>
        <v/>
      </c>
      <c r="N181" s="140"/>
      <c r="O181" s="140"/>
      <c r="P181" s="140"/>
      <c r="Q181" s="140" t="str">
        <f>IFERROR(VLOOKUP($A181,Erweiterungen!$C:$M,5,FALSE),"")</f>
        <v/>
      </c>
      <c r="R181" s="140"/>
      <c r="S181" s="143" t="str">
        <f>IFERROR(VLOOKUP($A181,Erweiterungen!$C:$M,7,FALSE),"")</f>
        <v/>
      </c>
      <c r="T181" s="143"/>
      <c r="U181" s="64" t="str">
        <f>IFERROR(VLOOKUP($A181,Erweiterungen!$C:$M,8,FALSE),"")</f>
        <v/>
      </c>
      <c r="V181" s="139" t="str">
        <f>IFERROR(VLOOKUP($A181,Erweiterungen!$C:$M,9,FALSE),"")</f>
        <v/>
      </c>
      <c r="W181" s="139"/>
      <c r="X181" s="64" t="str">
        <f>IFERROR(VLOOKUP($A181,Erweiterungen!$C:$M,10,FALSE),"")</f>
        <v/>
      </c>
      <c r="Y181" s="140" t="str">
        <f>IFERROR(VLOOKUP($A181,Erweiterungen!$C:$M,11,FALSE),"")</f>
        <v/>
      </c>
      <c r="Z181" s="140"/>
      <c r="AD181" s="26" t="s">
        <v>269</v>
      </c>
      <c r="AH181">
        <f t="shared" ca="1" si="10"/>
        <v>0</v>
      </c>
      <c r="BJ181" s="60"/>
    </row>
    <row r="182" spans="1:62" x14ac:dyDescent="0.3">
      <c r="A182" s="141"/>
      <c r="B182" s="141"/>
      <c r="C182" s="141"/>
      <c r="D182" s="141"/>
      <c r="E182" s="141"/>
      <c r="F182" s="141"/>
      <c r="G182" s="142" t="str">
        <f>IFERROR(VLOOKUP($A182,Erweiterungen!$C:$M,2,FALSE),"")</f>
        <v/>
      </c>
      <c r="H182" s="142"/>
      <c r="I182" s="142"/>
      <c r="J182" s="142"/>
      <c r="K182" s="140" t="str">
        <f>IFERROR(VLOOKUP($A182,Erweiterungen!$C:$M,3,FALSE),"")</f>
        <v/>
      </c>
      <c r="L182" s="140"/>
      <c r="M182" s="140" t="str">
        <f>IFERROR(VLOOKUP($A182,Erweiterungen!$C:$M,4,FALSE),"")</f>
        <v/>
      </c>
      <c r="N182" s="140"/>
      <c r="O182" s="140"/>
      <c r="P182" s="140"/>
      <c r="Q182" s="140" t="str">
        <f>IFERROR(VLOOKUP($A182,Erweiterungen!$C:$M,5,FALSE),"")</f>
        <v/>
      </c>
      <c r="R182" s="140"/>
      <c r="S182" s="143" t="str">
        <f>IFERROR(VLOOKUP($A182,Erweiterungen!$C:$M,7,FALSE),"")</f>
        <v/>
      </c>
      <c r="T182" s="143"/>
      <c r="U182" s="64" t="str">
        <f>IFERROR(VLOOKUP($A182,Erweiterungen!$C:$M,8,FALSE),"")</f>
        <v/>
      </c>
      <c r="V182" s="139" t="str">
        <f>IFERROR(VLOOKUP($A182,Erweiterungen!$C:$M,9,FALSE),"")</f>
        <v/>
      </c>
      <c r="W182" s="139"/>
      <c r="X182" s="64" t="str">
        <f>IFERROR(VLOOKUP($A182,Erweiterungen!$C:$M,10,FALSE),"")</f>
        <v/>
      </c>
      <c r="Y182" s="140" t="str">
        <f>IFERROR(VLOOKUP($A182,Erweiterungen!$C:$M,11,FALSE),"")</f>
        <v/>
      </c>
      <c r="Z182" s="140"/>
      <c r="AD182" s="60" t="s">
        <v>275</v>
      </c>
      <c r="AH182">
        <f t="shared" ca="1" si="10"/>
        <v>0</v>
      </c>
      <c r="BJ182" s="26"/>
    </row>
    <row r="183" spans="1:62" x14ac:dyDescent="0.3">
      <c r="A183" s="141"/>
      <c r="B183" s="141"/>
      <c r="C183" s="141"/>
      <c r="D183" s="141"/>
      <c r="E183" s="141"/>
      <c r="F183" s="141"/>
      <c r="G183" s="142" t="str">
        <f>IFERROR(VLOOKUP($A183,Erweiterungen!$C:$M,2,FALSE),"")</f>
        <v/>
      </c>
      <c r="H183" s="142"/>
      <c r="I183" s="142"/>
      <c r="J183" s="142"/>
      <c r="K183" s="140" t="str">
        <f>IFERROR(VLOOKUP($A183,Erweiterungen!$C:$M,3,FALSE),"")</f>
        <v/>
      </c>
      <c r="L183" s="140"/>
      <c r="M183" s="140" t="str">
        <f>IFERROR(VLOOKUP($A183,Erweiterungen!$C:$M,4,FALSE),"")</f>
        <v/>
      </c>
      <c r="N183" s="140"/>
      <c r="O183" s="140"/>
      <c r="P183" s="140"/>
      <c r="Q183" s="140" t="str">
        <f>IFERROR(VLOOKUP($A183,Erweiterungen!$C:$M,5,FALSE),"")</f>
        <v/>
      </c>
      <c r="R183" s="140"/>
      <c r="S183" s="143" t="str">
        <f>IFERROR(VLOOKUP($A183,Erweiterungen!$C:$M,7,FALSE),"")</f>
        <v/>
      </c>
      <c r="T183" s="143"/>
      <c r="U183" s="64" t="str">
        <f>IFERROR(VLOOKUP($A183,Erweiterungen!$C:$M,8,FALSE),"")</f>
        <v/>
      </c>
      <c r="V183" s="139" t="str">
        <f>IFERROR(VLOOKUP($A183,Erweiterungen!$C:$M,9,FALSE),"")</f>
        <v/>
      </c>
      <c r="W183" s="139"/>
      <c r="X183" s="64" t="str">
        <f>IFERROR(VLOOKUP($A183,Erweiterungen!$C:$M,10,FALSE),"")</f>
        <v/>
      </c>
      <c r="Y183" s="140" t="str">
        <f>IFERROR(VLOOKUP($A183,Erweiterungen!$C:$M,11,FALSE),"")</f>
        <v/>
      </c>
      <c r="Z183" s="140"/>
      <c r="AD183" s="26" t="s">
        <v>219</v>
      </c>
      <c r="AH183">
        <f t="shared" ca="1" si="10"/>
        <v>0</v>
      </c>
      <c r="BJ183" s="26"/>
    </row>
    <row r="184" spans="1:62" x14ac:dyDescent="0.3">
      <c r="A184" s="141"/>
      <c r="B184" s="141"/>
      <c r="C184" s="141"/>
      <c r="D184" s="141"/>
      <c r="E184" s="141"/>
      <c r="F184" s="141"/>
      <c r="G184" s="142" t="str">
        <f>IFERROR(VLOOKUP($A184,Erweiterungen!$C:$M,2,FALSE),"")</f>
        <v/>
      </c>
      <c r="H184" s="142"/>
      <c r="I184" s="142"/>
      <c r="J184" s="142"/>
      <c r="K184" s="140" t="str">
        <f>IFERROR(VLOOKUP($A184,Erweiterungen!$C:$M,3,FALSE),"")</f>
        <v/>
      </c>
      <c r="L184" s="140"/>
      <c r="M184" s="140" t="str">
        <f>IFERROR(VLOOKUP($A184,Erweiterungen!$C:$M,4,FALSE),"")</f>
        <v/>
      </c>
      <c r="N184" s="140"/>
      <c r="O184" s="140"/>
      <c r="P184" s="140"/>
      <c r="Q184" s="140" t="str">
        <f>IFERROR(VLOOKUP($A184,Erweiterungen!$C:$M,5,FALSE),"")</f>
        <v/>
      </c>
      <c r="R184" s="140"/>
      <c r="S184" s="143" t="str">
        <f>IFERROR(VLOOKUP($A184,Erweiterungen!$C:$M,7,FALSE),"")</f>
        <v/>
      </c>
      <c r="T184" s="143"/>
      <c r="U184" s="64" t="str">
        <f>IFERROR(VLOOKUP($A184,Erweiterungen!$C:$M,8,FALSE),"")</f>
        <v/>
      </c>
      <c r="V184" s="139" t="str">
        <f>IFERROR(VLOOKUP($A184,Erweiterungen!$C:$M,9,FALSE),"")</f>
        <v/>
      </c>
      <c r="W184" s="139"/>
      <c r="X184" s="64" t="str">
        <f>IFERROR(VLOOKUP($A184,Erweiterungen!$C:$M,10,FALSE),"")</f>
        <v/>
      </c>
      <c r="Y184" s="140" t="str">
        <f>IFERROR(VLOOKUP($A184,Erweiterungen!$C:$M,11,FALSE),"")</f>
        <v/>
      </c>
      <c r="Z184" s="140"/>
      <c r="AD184" s="26" t="s">
        <v>217</v>
      </c>
      <c r="AH184">
        <f t="shared" ca="1" si="10"/>
        <v>0</v>
      </c>
      <c r="BJ184" s="26"/>
    </row>
    <row r="185" spans="1:62" x14ac:dyDescent="0.3">
      <c r="A185" s="141"/>
      <c r="B185" s="141"/>
      <c r="C185" s="141"/>
      <c r="D185" s="141"/>
      <c r="E185" s="141"/>
      <c r="F185" s="141"/>
      <c r="G185" s="142" t="str">
        <f>IFERROR(VLOOKUP($A185,Erweiterungen!$C:$M,2,FALSE),"")</f>
        <v/>
      </c>
      <c r="H185" s="142"/>
      <c r="I185" s="142"/>
      <c r="J185" s="142"/>
      <c r="K185" s="140" t="str">
        <f>IFERROR(VLOOKUP($A185,Erweiterungen!$C:$M,3,FALSE),"")</f>
        <v/>
      </c>
      <c r="L185" s="140"/>
      <c r="M185" s="140" t="str">
        <f>IFERROR(VLOOKUP($A185,Erweiterungen!$C:$M,4,FALSE),"")</f>
        <v/>
      </c>
      <c r="N185" s="140"/>
      <c r="O185" s="140"/>
      <c r="P185" s="140"/>
      <c r="Q185" s="140" t="str">
        <f>IFERROR(VLOOKUP($A185,Erweiterungen!$C:$M,5,FALSE),"")</f>
        <v/>
      </c>
      <c r="R185" s="140"/>
      <c r="S185" s="143" t="str">
        <f>IFERROR(VLOOKUP($A185,Erweiterungen!$C:$M,7,FALSE),"")</f>
        <v/>
      </c>
      <c r="T185" s="143"/>
      <c r="U185" s="64" t="str">
        <f>IFERROR(VLOOKUP($A185,Erweiterungen!$C:$M,8,FALSE),"")</f>
        <v/>
      </c>
      <c r="V185" s="139" t="str">
        <f>IFERROR(VLOOKUP($A185,Erweiterungen!$C:$M,9,FALSE),"")</f>
        <v/>
      </c>
      <c r="W185" s="139"/>
      <c r="X185" s="64" t="str">
        <f>IFERROR(VLOOKUP($A185,Erweiterungen!$C:$M,10,FALSE),"")</f>
        <v/>
      </c>
      <c r="Y185" s="140" t="str">
        <f>IFERROR(VLOOKUP($A185,Erweiterungen!$C:$M,11,FALSE),"")</f>
        <v/>
      </c>
      <c r="Z185" s="140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137">
        <f>SUM(Y165:Z185)</f>
        <v>0</v>
      </c>
      <c r="Z186" s="138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79" t="s">
        <v>394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241</v>
      </c>
      <c r="B190" s="61" t="s">
        <v>395</v>
      </c>
      <c r="C190" s="61"/>
      <c r="D190" s="61"/>
      <c r="E190" s="61"/>
      <c r="F190" s="61"/>
      <c r="G190" s="61"/>
      <c r="H190" s="61" t="s">
        <v>175</v>
      </c>
      <c r="I190" s="61"/>
      <c r="J190" s="61"/>
      <c r="K190" s="136" t="s">
        <v>396</v>
      </c>
      <c r="L190" s="136"/>
      <c r="M190" s="136"/>
      <c r="N190" s="136"/>
      <c r="O190" s="136"/>
      <c r="P190" s="136"/>
      <c r="Q190" s="136" t="s">
        <v>397</v>
      </c>
      <c r="R190" s="136"/>
      <c r="S190" s="136"/>
      <c r="T190" s="136"/>
      <c r="U190" s="136"/>
      <c r="V190" s="136"/>
      <c r="W190" s="136"/>
      <c r="X190" s="61" t="s">
        <v>175</v>
      </c>
      <c r="Y190" s="61"/>
      <c r="Z190" s="61"/>
      <c r="BJ190" s="26"/>
    </row>
    <row r="191" spans="1:62" x14ac:dyDescent="0.3">
      <c r="A191" s="57">
        <v>1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BJ191" s="26"/>
    </row>
    <row r="192" spans="1:62" x14ac:dyDescent="0.3">
      <c r="A192" s="57">
        <v>2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BJ192" s="26"/>
    </row>
    <row r="193" spans="1:62" x14ac:dyDescent="0.3">
      <c r="A193" s="57">
        <v>3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BJ193" s="26"/>
    </row>
    <row r="194" spans="1:62" x14ac:dyDescent="0.3">
      <c r="A194" s="57">
        <v>4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BJ194" s="26"/>
    </row>
    <row r="195" spans="1:62" x14ac:dyDescent="0.3">
      <c r="A195" s="57">
        <v>5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BJ195" s="26"/>
    </row>
    <row r="196" spans="1:62" x14ac:dyDescent="0.3">
      <c r="A196" s="57">
        <v>6</v>
      </c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BJ196" s="26"/>
    </row>
    <row r="197" spans="1:62" x14ac:dyDescent="0.3">
      <c r="A197" s="57">
        <v>7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BJ197" s="26"/>
    </row>
    <row r="198" spans="1:62" x14ac:dyDescent="0.3">
      <c r="A198" s="57">
        <v>8</v>
      </c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BJ198" s="26"/>
    </row>
    <row r="199" spans="1:62" x14ac:dyDescent="0.3">
      <c r="A199" s="57">
        <v>9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BJ199" s="26"/>
    </row>
    <row r="200" spans="1:62" x14ac:dyDescent="0.3">
      <c r="A200" s="57">
        <v>10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BJ200" s="26"/>
    </row>
    <row r="201" spans="1:62" x14ac:dyDescent="0.3">
      <c r="A201" s="57">
        <v>11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BJ201" s="26"/>
    </row>
    <row r="202" spans="1:62" x14ac:dyDescent="0.3">
      <c r="A202" s="57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BJ202" s="26"/>
    </row>
    <row r="203" spans="1:62" x14ac:dyDescent="0.3">
      <c r="A203" s="57">
        <v>13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BJ203" s="26"/>
    </row>
    <row r="204" spans="1:62" x14ac:dyDescent="0.3">
      <c r="A204" s="57">
        <v>14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BJ204" s="26"/>
    </row>
    <row r="205" spans="1:62" x14ac:dyDescent="0.3">
      <c r="A205" s="57">
        <v>15</v>
      </c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BJ205" s="26"/>
    </row>
    <row r="206" spans="1:62" x14ac:dyDescent="0.3">
      <c r="A206" s="57">
        <v>16</v>
      </c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BJ206" s="26"/>
    </row>
    <row r="207" spans="1:62" x14ac:dyDescent="0.3">
      <c r="A207" s="57">
        <v>17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BJ207" s="26"/>
    </row>
    <row r="208" spans="1:62" x14ac:dyDescent="0.3">
      <c r="A208" s="57">
        <v>18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BJ208" s="26"/>
    </row>
    <row r="209" spans="1:62" x14ac:dyDescent="0.3">
      <c r="A209" s="57">
        <v>19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BJ209" s="26"/>
    </row>
    <row r="210" spans="1:62" x14ac:dyDescent="0.3">
      <c r="A210" s="57">
        <v>20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heetProtection sheet="1" objects="1" scenarios="1"/>
  <sortState ref="BJ164:BJ183">
    <sortCondition ref="BJ164:BJ183"/>
  </sortState>
  <mergeCells count="767"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L35:M35"/>
    <mergeCell ref="L34:M34"/>
    <mergeCell ref="A9:R12"/>
    <mergeCell ref="T3:Z12"/>
    <mergeCell ref="E5:Q5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W91:X91"/>
    <mergeCell ref="S91:T91"/>
    <mergeCell ref="U91:V91"/>
    <mergeCell ref="V81:X81"/>
    <mergeCell ref="V79:X79"/>
    <mergeCell ref="V80:X80"/>
    <mergeCell ref="W92:X92"/>
    <mergeCell ref="S87:T88"/>
    <mergeCell ref="E6:Q6"/>
    <mergeCell ref="J48:K48"/>
    <mergeCell ref="R62:S62"/>
    <mergeCell ref="R63:S63"/>
    <mergeCell ref="V58:X58"/>
    <mergeCell ref="V65:X65"/>
    <mergeCell ref="C93:I93"/>
    <mergeCell ref="Y109:Z109"/>
    <mergeCell ref="U110:V110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C94:I94"/>
    <mergeCell ref="C89:I89"/>
    <mergeCell ref="N127:P127"/>
    <mergeCell ref="I132:M132"/>
    <mergeCell ref="S92:T92"/>
    <mergeCell ref="U92:V92"/>
    <mergeCell ref="R127:T127"/>
    <mergeCell ref="U127:W127"/>
    <mergeCell ref="X127:Z127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W109:X109"/>
    <mergeCell ref="X133:Z133"/>
    <mergeCell ref="R134:T134"/>
    <mergeCell ref="U134:W134"/>
    <mergeCell ref="X134:Z134"/>
    <mergeCell ref="N133:P133"/>
    <mergeCell ref="N134:P134"/>
    <mergeCell ref="N135:P135"/>
    <mergeCell ref="N136:P136"/>
    <mergeCell ref="B126:B127"/>
    <mergeCell ref="R131:T131"/>
    <mergeCell ref="U131:W131"/>
    <mergeCell ref="X131:Z131"/>
    <mergeCell ref="R132:T132"/>
    <mergeCell ref="U132:W132"/>
    <mergeCell ref="X132:Z132"/>
    <mergeCell ref="R129:T129"/>
    <mergeCell ref="U129:W129"/>
    <mergeCell ref="X129:Z129"/>
    <mergeCell ref="R130:T130"/>
    <mergeCell ref="U130:W130"/>
    <mergeCell ref="X130:Z130"/>
    <mergeCell ref="N130:P130"/>
    <mergeCell ref="N131:P131"/>
    <mergeCell ref="N132:P132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C126:H127"/>
    <mergeCell ref="I126:M127"/>
    <mergeCell ref="C131:H131"/>
    <mergeCell ref="C132:H132"/>
    <mergeCell ref="C133:H133"/>
    <mergeCell ref="I131:M131"/>
    <mergeCell ref="R135:T135"/>
    <mergeCell ref="U135:W135"/>
    <mergeCell ref="X135:Z135"/>
    <mergeCell ref="R133:T133"/>
    <mergeCell ref="U133:W133"/>
    <mergeCell ref="U138:W138"/>
    <mergeCell ref="X138:Z138"/>
    <mergeCell ref="C139:H139"/>
    <mergeCell ref="I139:M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R137:T137"/>
    <mergeCell ref="U137:W137"/>
    <mergeCell ref="X137:Z137"/>
    <mergeCell ref="R136:T136"/>
    <mergeCell ref="U136:W136"/>
    <mergeCell ref="X136:Z136"/>
    <mergeCell ref="R138:T138"/>
    <mergeCell ref="C141:H141"/>
    <mergeCell ref="I141:M141"/>
    <mergeCell ref="R141:T141"/>
    <mergeCell ref="U141:W141"/>
    <mergeCell ref="X141:Z141"/>
    <mergeCell ref="C140:H140"/>
    <mergeCell ref="I140:M140"/>
    <mergeCell ref="R140:T140"/>
    <mergeCell ref="U140:W140"/>
    <mergeCell ref="X140:Z140"/>
    <mergeCell ref="C143:H143"/>
    <mergeCell ref="I143:M143"/>
    <mergeCell ref="R143:T143"/>
    <mergeCell ref="U143:W143"/>
    <mergeCell ref="X143:Z143"/>
    <mergeCell ref="C142:H142"/>
    <mergeCell ref="I142:M142"/>
    <mergeCell ref="R142:T142"/>
    <mergeCell ref="U142:W142"/>
    <mergeCell ref="X142:Z142"/>
    <mergeCell ref="C145:H145"/>
    <mergeCell ref="I145:M145"/>
    <mergeCell ref="R145:T145"/>
    <mergeCell ref="U145:W145"/>
    <mergeCell ref="X145:Z145"/>
    <mergeCell ref="C144:H144"/>
    <mergeCell ref="I144:M144"/>
    <mergeCell ref="R144:T144"/>
    <mergeCell ref="U144:W144"/>
    <mergeCell ref="X144:Z144"/>
    <mergeCell ref="N144:P144"/>
    <mergeCell ref="N145:P145"/>
    <mergeCell ref="X148:Z148"/>
    <mergeCell ref="N148:P148"/>
    <mergeCell ref="N149:P149"/>
    <mergeCell ref="C147:H147"/>
    <mergeCell ref="I147:M147"/>
    <mergeCell ref="R147:T147"/>
    <mergeCell ref="U147:W147"/>
    <mergeCell ref="X147:Z147"/>
    <mergeCell ref="C146:H146"/>
    <mergeCell ref="I146:M146"/>
    <mergeCell ref="R146:T146"/>
    <mergeCell ref="U146:W146"/>
    <mergeCell ref="X146:Z146"/>
    <mergeCell ref="N146:P146"/>
    <mergeCell ref="N147:P147"/>
    <mergeCell ref="C149:H149"/>
    <mergeCell ref="I149:M149"/>
    <mergeCell ref="R149:T149"/>
    <mergeCell ref="U149:W149"/>
    <mergeCell ref="X149:Z149"/>
    <mergeCell ref="C148:H148"/>
    <mergeCell ref="I148:M148"/>
    <mergeCell ref="R148:T148"/>
    <mergeCell ref="U148:W148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K103:L103"/>
    <mergeCell ref="N103:O103"/>
    <mergeCell ref="F102:J102"/>
    <mergeCell ref="Q102:R102"/>
    <mergeCell ref="W102:X102"/>
    <mergeCell ref="F104:J104"/>
    <mergeCell ref="Q104:R104"/>
    <mergeCell ref="W104:X104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F105:J105"/>
    <mergeCell ref="Q105:R105"/>
    <mergeCell ref="W105:X105"/>
    <mergeCell ref="Y105:Z105"/>
    <mergeCell ref="K105:L105"/>
    <mergeCell ref="N105:O105"/>
    <mergeCell ref="W110:X110"/>
    <mergeCell ref="Y110:Z110"/>
    <mergeCell ref="A107:E107"/>
    <mergeCell ref="F107:J107"/>
    <mergeCell ref="K107:L107"/>
    <mergeCell ref="N107:O107"/>
    <mergeCell ref="Q107:R107"/>
    <mergeCell ref="S107:T107"/>
    <mergeCell ref="U107:V107"/>
    <mergeCell ref="A110:E110"/>
    <mergeCell ref="F110:J110"/>
    <mergeCell ref="K110:L110"/>
    <mergeCell ref="N110:O110"/>
    <mergeCell ref="Q110:R110"/>
    <mergeCell ref="S110:T110"/>
    <mergeCell ref="U106:V106"/>
    <mergeCell ref="W106:X106"/>
    <mergeCell ref="A101:E101"/>
    <mergeCell ref="A102:E102"/>
    <mergeCell ref="A103:E103"/>
    <mergeCell ref="A104:E104"/>
    <mergeCell ref="A105:E105"/>
    <mergeCell ref="S106:T106"/>
    <mergeCell ref="W111:X111"/>
    <mergeCell ref="Y111:Z111"/>
    <mergeCell ref="S112:T112"/>
    <mergeCell ref="U112:V112"/>
    <mergeCell ref="W112:X112"/>
    <mergeCell ref="Y112:Z112"/>
    <mergeCell ref="N112:O112"/>
    <mergeCell ref="Q112:R112"/>
    <mergeCell ref="A111:E111"/>
    <mergeCell ref="F111:J111"/>
    <mergeCell ref="K111:L111"/>
    <mergeCell ref="N111:O111"/>
    <mergeCell ref="Q111:R111"/>
    <mergeCell ref="S111:T111"/>
    <mergeCell ref="U111:V111"/>
    <mergeCell ref="Y106:Z106"/>
    <mergeCell ref="K106:L106"/>
    <mergeCell ref="N106:O106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AD112:AF112"/>
    <mergeCell ref="AD113:AF113"/>
    <mergeCell ref="AD114:AF114"/>
    <mergeCell ref="AD115:AF115"/>
    <mergeCell ref="C150:H150"/>
    <mergeCell ref="I150:M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Q116:R116"/>
    <mergeCell ref="S116:T116"/>
    <mergeCell ref="U116:V116"/>
    <mergeCell ref="W116:X116"/>
    <mergeCell ref="U114:V114"/>
    <mergeCell ref="W114:X114"/>
    <mergeCell ref="Y114:Z114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R153:T153"/>
    <mergeCell ref="U153:W153"/>
    <mergeCell ref="C156:H156"/>
    <mergeCell ref="I156:M156"/>
    <mergeCell ref="R156:T156"/>
    <mergeCell ref="U156:W156"/>
    <mergeCell ref="S163:X163"/>
    <mergeCell ref="N155:P155"/>
    <mergeCell ref="N156:P156"/>
    <mergeCell ref="N157:P157"/>
    <mergeCell ref="X153:Z153"/>
    <mergeCell ref="V31:W31"/>
    <mergeCell ref="V32:W32"/>
    <mergeCell ref="V34:W34"/>
    <mergeCell ref="C155:H155"/>
    <mergeCell ref="I155:M155"/>
    <mergeCell ref="R155:T155"/>
    <mergeCell ref="U155:W155"/>
    <mergeCell ref="X155:Z155"/>
    <mergeCell ref="C154:H154"/>
    <mergeCell ref="I154:M154"/>
    <mergeCell ref="R154:T154"/>
    <mergeCell ref="U154:W154"/>
    <mergeCell ref="X154:Z154"/>
    <mergeCell ref="C153:H153"/>
    <mergeCell ref="V33:W33"/>
    <mergeCell ref="P37:Q37"/>
    <mergeCell ref="N153:P153"/>
    <mergeCell ref="N154:P154"/>
    <mergeCell ref="C152:H152"/>
    <mergeCell ref="I152:M152"/>
    <mergeCell ref="R152:T152"/>
    <mergeCell ref="U152:W152"/>
    <mergeCell ref="X152:Z152"/>
    <mergeCell ref="C151:H151"/>
    <mergeCell ref="N150:P150"/>
    <mergeCell ref="N151:P151"/>
    <mergeCell ref="N152:P152"/>
    <mergeCell ref="X156:Z156"/>
    <mergeCell ref="C158:H158"/>
    <mergeCell ref="I158:M158"/>
    <mergeCell ref="R158:T158"/>
    <mergeCell ref="U158:W158"/>
    <mergeCell ref="X158:Z158"/>
    <mergeCell ref="I151:M151"/>
    <mergeCell ref="R151:T151"/>
    <mergeCell ref="U151:W151"/>
    <mergeCell ref="X151:Z151"/>
    <mergeCell ref="A165:F165"/>
    <mergeCell ref="G165:J165"/>
    <mergeCell ref="K165:L165"/>
    <mergeCell ref="M165:P165"/>
    <mergeCell ref="Q165:R165"/>
    <mergeCell ref="Y163:Z164"/>
    <mergeCell ref="C157:H157"/>
    <mergeCell ref="I157:M157"/>
    <mergeCell ref="N128:P128"/>
    <mergeCell ref="N129:P129"/>
    <mergeCell ref="R157:T157"/>
    <mergeCell ref="U157:W157"/>
    <mergeCell ref="X157:Z157"/>
    <mergeCell ref="S165:T165"/>
    <mergeCell ref="V165:W165"/>
    <mergeCell ref="Y165:Z165"/>
    <mergeCell ref="N158:P158"/>
    <mergeCell ref="N137:P137"/>
    <mergeCell ref="N138:P138"/>
    <mergeCell ref="N139:P139"/>
    <mergeCell ref="N140:P140"/>
    <mergeCell ref="N141:P141"/>
    <mergeCell ref="N142:P142"/>
    <mergeCell ref="N143:P143"/>
    <mergeCell ref="Y166:Z166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A166:F166"/>
    <mergeCell ref="G166:J166"/>
    <mergeCell ref="K166:L166"/>
    <mergeCell ref="M166:P166"/>
    <mergeCell ref="Q166:R166"/>
    <mergeCell ref="S166:T166"/>
    <mergeCell ref="V166:W166"/>
    <mergeCell ref="V168:W168"/>
    <mergeCell ref="Y168:Z168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 xr:uid="{00000000-0002-0000-0000-000000000000}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haltfläche 2">
              <controlPr defaultSize="0" print="0" autoFill="0" autoPict="0" macro="[0]!neueRunde">
                <anchor moveWithCells="1" sizeWithCells="1">
                  <from>
                    <xdr:col>31</xdr:col>
                    <xdr:colOff>209550</xdr:colOff>
                    <xdr:row>1</xdr:row>
                    <xdr:rowOff>114300</xdr:rowOff>
                  </from>
                  <to>
                    <xdr:col>36</xdr:col>
                    <xdr:colOff>180975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Handelwaren!$B$3:$B$15</xm:f>
          </x14:formula1>
          <xm:sqref>A102:E120</xm:sqref>
        </x14:dataValidation>
        <x14:dataValidation type="list" allowBlank="1" showInputMessage="1" showErrorMessage="1" xr:uid="{00000000-0002-0000-0000-000002000000}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 xr:uid="{00000000-0002-0000-0000-000003000000}">
          <x14:formula1>
            <xm:f>Handelwaren!$B$3:$B$16</xm:f>
          </x14:formula1>
          <xm:sqref>A101:E101</xm:sqref>
        </x14:dataValidation>
        <x14:dataValidation type="list" allowBlank="1" showInputMessage="1" showErrorMessage="1" xr:uid="{00000000-0002-0000-0000-000004000000}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29" customFormat="1" x14ac:dyDescent="0.3">
      <c r="A1" s="126" t="s">
        <v>188</v>
      </c>
      <c r="B1" s="126" t="s">
        <v>398</v>
      </c>
      <c r="C1" s="126" t="s">
        <v>399</v>
      </c>
      <c r="D1" s="126" t="s">
        <v>400</v>
      </c>
      <c r="E1" s="126"/>
      <c r="F1" s="126"/>
      <c r="G1" s="126"/>
      <c r="H1" s="127" t="s">
        <v>235</v>
      </c>
      <c r="I1" s="128" t="s">
        <v>401</v>
      </c>
      <c r="J1" s="127" t="s">
        <v>175</v>
      </c>
      <c r="K1" s="128" t="s">
        <v>401</v>
      </c>
      <c r="L1" s="127" t="s">
        <v>175</v>
      </c>
      <c r="M1" s="128" t="s">
        <v>401</v>
      </c>
      <c r="N1" s="127" t="s">
        <v>175</v>
      </c>
      <c r="O1" s="127" t="s">
        <v>422</v>
      </c>
    </row>
    <row r="2" spans="1:15" x14ac:dyDescent="0.3">
      <c r="A2" s="49" t="s">
        <v>402</v>
      </c>
      <c r="B2" s="49" t="s">
        <v>77</v>
      </c>
      <c r="C2" s="49" t="s">
        <v>403</v>
      </c>
      <c r="D2" s="49" t="s">
        <v>192</v>
      </c>
      <c r="E2" s="49"/>
      <c r="F2" s="49"/>
      <c r="G2" s="49"/>
      <c r="H2" s="51">
        <v>100</v>
      </c>
      <c r="I2" s="51" t="s">
        <v>268</v>
      </c>
      <c r="J2" s="51">
        <v>50</v>
      </c>
      <c r="K2" s="51" t="s">
        <v>275</v>
      </c>
      <c r="L2" s="51">
        <v>1</v>
      </c>
      <c r="M2" s="51"/>
      <c r="N2" s="51"/>
      <c r="O2" s="51"/>
    </row>
    <row r="3" spans="1:15" x14ac:dyDescent="0.3">
      <c r="A3" s="49" t="s">
        <v>402</v>
      </c>
      <c r="B3" s="49" t="s">
        <v>20</v>
      </c>
      <c r="C3" s="49" t="s">
        <v>403</v>
      </c>
      <c r="D3" s="49" t="s">
        <v>195</v>
      </c>
      <c r="E3" s="49"/>
      <c r="F3" s="49"/>
      <c r="G3" s="49"/>
      <c r="H3" s="51">
        <v>200</v>
      </c>
      <c r="I3" s="51" t="s">
        <v>268</v>
      </c>
      <c r="J3" s="51">
        <v>50</v>
      </c>
      <c r="K3" s="51" t="s">
        <v>275</v>
      </c>
      <c r="L3" s="51">
        <v>1</v>
      </c>
      <c r="M3" s="51"/>
      <c r="N3" s="51"/>
      <c r="O3" s="51"/>
    </row>
    <row r="4" spans="1:15" x14ac:dyDescent="0.3">
      <c r="A4" s="49" t="s">
        <v>402</v>
      </c>
      <c r="B4" s="49" t="s">
        <v>53</v>
      </c>
      <c r="C4" s="49" t="s">
        <v>403</v>
      </c>
      <c r="D4" s="49" t="s">
        <v>197</v>
      </c>
      <c r="E4" s="49"/>
      <c r="F4" s="49"/>
      <c r="G4" s="49"/>
      <c r="H4" s="51">
        <v>300</v>
      </c>
      <c r="I4" s="51" t="s">
        <v>268</v>
      </c>
      <c r="J4" s="51">
        <v>50</v>
      </c>
      <c r="K4" s="51" t="s">
        <v>275</v>
      </c>
      <c r="L4" s="51">
        <v>1</v>
      </c>
      <c r="M4" s="51"/>
      <c r="N4" s="51"/>
      <c r="O4" s="51"/>
    </row>
    <row r="5" spans="1:15" x14ac:dyDescent="0.3">
      <c r="A5" s="49" t="s">
        <v>402</v>
      </c>
      <c r="B5" s="49" t="s">
        <v>48</v>
      </c>
      <c r="C5" s="49" t="s">
        <v>403</v>
      </c>
      <c r="D5" s="49" t="s">
        <v>199</v>
      </c>
      <c r="E5" s="49"/>
      <c r="F5" s="49"/>
      <c r="G5" s="49"/>
      <c r="H5" s="51">
        <v>400</v>
      </c>
      <c r="I5" s="51" t="s">
        <v>268</v>
      </c>
      <c r="J5" s="51">
        <v>50</v>
      </c>
      <c r="K5" s="51" t="s">
        <v>275</v>
      </c>
      <c r="L5" s="51">
        <v>1</v>
      </c>
      <c r="M5" s="51"/>
      <c r="N5" s="51"/>
      <c r="O5" s="51"/>
    </row>
    <row r="6" spans="1:15" x14ac:dyDescent="0.3">
      <c r="A6" s="49" t="s">
        <v>402</v>
      </c>
      <c r="B6" s="49" t="s">
        <v>74</v>
      </c>
      <c r="C6" s="49" t="s">
        <v>403</v>
      </c>
      <c r="D6" s="49" t="s">
        <v>201</v>
      </c>
      <c r="E6" s="49"/>
      <c r="F6" s="49"/>
      <c r="G6" s="49"/>
      <c r="H6" s="51">
        <v>500</v>
      </c>
      <c r="I6" s="51" t="s">
        <v>268</v>
      </c>
      <c r="J6" s="51">
        <v>50</v>
      </c>
      <c r="K6" s="51" t="s">
        <v>275</v>
      </c>
      <c r="L6" s="51">
        <v>1</v>
      </c>
      <c r="M6" s="51"/>
      <c r="N6" s="51"/>
      <c r="O6" s="51"/>
    </row>
    <row r="7" spans="1:15" x14ac:dyDescent="0.3">
      <c r="A7" s="49" t="s">
        <v>402</v>
      </c>
      <c r="B7" s="49" t="s">
        <v>243</v>
      </c>
      <c r="C7" s="49" t="s">
        <v>403</v>
      </c>
      <c r="D7" s="49" t="s">
        <v>365</v>
      </c>
      <c r="E7" s="49"/>
      <c r="F7" s="49"/>
      <c r="G7" s="49"/>
      <c r="H7" s="51">
        <v>1000</v>
      </c>
      <c r="I7" s="51" t="s">
        <v>275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402</v>
      </c>
      <c r="B8" s="49" t="s">
        <v>247</v>
      </c>
      <c r="C8" s="49" t="s">
        <v>403</v>
      </c>
      <c r="D8" s="49" t="s">
        <v>205</v>
      </c>
      <c r="E8" s="49"/>
      <c r="F8" s="49"/>
      <c r="G8" s="49"/>
      <c r="H8" s="51">
        <v>50</v>
      </c>
      <c r="I8" s="51" t="s">
        <v>268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402</v>
      </c>
      <c r="B9" s="49" t="s">
        <v>248</v>
      </c>
      <c r="C9" s="49" t="s">
        <v>403</v>
      </c>
      <c r="D9" s="49" t="s">
        <v>268</v>
      </c>
      <c r="E9" s="49"/>
      <c r="F9" s="49"/>
      <c r="G9" s="49"/>
      <c r="H9" s="51">
        <v>100</v>
      </c>
      <c r="I9" s="51" t="s">
        <v>275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402</v>
      </c>
      <c r="B10" s="49" t="s">
        <v>250</v>
      </c>
      <c r="C10" s="49" t="s">
        <v>403</v>
      </c>
      <c r="D10" s="49" t="s">
        <v>208</v>
      </c>
      <c r="E10" s="49"/>
      <c r="F10" s="49"/>
      <c r="G10" s="49"/>
      <c r="H10" s="51">
        <v>100</v>
      </c>
      <c r="I10" s="51" t="s">
        <v>275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402</v>
      </c>
      <c r="B11" s="49" t="s">
        <v>249</v>
      </c>
      <c r="C11" s="49" t="s">
        <v>403</v>
      </c>
      <c r="D11" s="49" t="s">
        <v>210</v>
      </c>
      <c r="E11" s="49"/>
      <c r="F11" s="49"/>
      <c r="G11" s="49"/>
      <c r="H11" s="51">
        <v>150</v>
      </c>
      <c r="I11" s="51" t="s">
        <v>275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402</v>
      </c>
      <c r="B12" s="49" t="s">
        <v>251</v>
      </c>
      <c r="C12" s="49" t="s">
        <v>403</v>
      </c>
      <c r="D12" s="49" t="s">
        <v>253</v>
      </c>
      <c r="E12" s="49"/>
      <c r="F12" s="49"/>
      <c r="G12" s="49"/>
      <c r="H12" s="51">
        <v>100</v>
      </c>
      <c r="I12" s="51" t="s">
        <v>295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402</v>
      </c>
      <c r="B13" s="49" t="s">
        <v>244</v>
      </c>
      <c r="C13" s="49" t="s">
        <v>403</v>
      </c>
      <c r="D13" s="49" t="s">
        <v>365</v>
      </c>
      <c r="E13" s="49"/>
      <c r="F13" s="49"/>
      <c r="G13" s="49"/>
      <c r="H13" s="51">
        <v>1000</v>
      </c>
      <c r="I13" s="51" t="s">
        <v>275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402</v>
      </c>
      <c r="B14" s="49" t="s">
        <v>216</v>
      </c>
      <c r="C14" s="49" t="s">
        <v>403</v>
      </c>
      <c r="D14" s="49" t="s">
        <v>217</v>
      </c>
      <c r="E14" s="49"/>
      <c r="F14" s="49"/>
      <c r="G14" s="49"/>
      <c r="H14" s="51">
        <v>100</v>
      </c>
      <c r="I14" s="51" t="s">
        <v>268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402</v>
      </c>
      <c r="B15" s="49" t="s">
        <v>282</v>
      </c>
      <c r="C15" s="49" t="s">
        <v>403</v>
      </c>
      <c r="D15" s="49" t="s">
        <v>219</v>
      </c>
      <c r="E15" s="49"/>
      <c r="F15" s="49"/>
      <c r="G15" s="49"/>
      <c r="H15" s="51">
        <v>150</v>
      </c>
      <c r="I15" s="51" t="s">
        <v>268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402</v>
      </c>
      <c r="B16" s="49" t="s">
        <v>289</v>
      </c>
      <c r="C16" s="49" t="s">
        <v>403</v>
      </c>
      <c r="D16" s="49" t="s">
        <v>221</v>
      </c>
      <c r="E16" s="49"/>
      <c r="F16" s="49"/>
      <c r="G16" s="49"/>
      <c r="H16" s="51">
        <v>200</v>
      </c>
      <c r="I16" s="51" t="s">
        <v>268</v>
      </c>
      <c r="J16" s="51">
        <v>20</v>
      </c>
      <c r="K16" s="51" t="s">
        <v>217</v>
      </c>
      <c r="L16" s="51">
        <v>50</v>
      </c>
      <c r="M16" s="51"/>
      <c r="N16" s="51"/>
      <c r="O16" s="51"/>
    </row>
    <row r="17" spans="1:15" x14ac:dyDescent="0.3">
      <c r="A17" s="49" t="s">
        <v>402</v>
      </c>
      <c r="B17" s="49" t="s">
        <v>246</v>
      </c>
      <c r="C17" s="49" t="s">
        <v>403</v>
      </c>
      <c r="D17" s="49" t="s">
        <v>319</v>
      </c>
      <c r="E17" s="49"/>
      <c r="F17" s="49"/>
      <c r="G17" s="49"/>
      <c r="H17" s="51">
        <v>300</v>
      </c>
      <c r="I17" s="51" t="s">
        <v>217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402</v>
      </c>
      <c r="B18" s="49" t="s">
        <v>271</v>
      </c>
      <c r="C18" s="49" t="s">
        <v>403</v>
      </c>
      <c r="D18" s="49" t="s">
        <v>212</v>
      </c>
      <c r="E18" s="49"/>
      <c r="F18" s="49"/>
      <c r="G18" s="49"/>
      <c r="H18" s="51">
        <v>400</v>
      </c>
      <c r="I18" s="51" t="s">
        <v>268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402</v>
      </c>
      <c r="B19" s="49" t="s">
        <v>270</v>
      </c>
      <c r="C19" s="49" t="s">
        <v>403</v>
      </c>
      <c r="D19" s="49" t="s">
        <v>269</v>
      </c>
      <c r="E19" s="49"/>
      <c r="F19" s="49"/>
      <c r="G19" s="49"/>
      <c r="H19" s="51">
        <v>500</v>
      </c>
      <c r="I19" s="51" t="s">
        <v>268</v>
      </c>
      <c r="J19" s="51">
        <v>30</v>
      </c>
      <c r="K19" s="51" t="s">
        <v>217</v>
      </c>
      <c r="L19" s="51">
        <v>50</v>
      </c>
      <c r="M19" s="51"/>
      <c r="N19" s="51"/>
      <c r="O19" s="51"/>
    </row>
    <row r="20" spans="1:15" x14ac:dyDescent="0.3">
      <c r="A20" s="49" t="s">
        <v>402</v>
      </c>
      <c r="B20" s="49" t="s">
        <v>283</v>
      </c>
      <c r="C20" s="49" t="s">
        <v>403</v>
      </c>
      <c r="D20" s="49" t="s">
        <v>252</v>
      </c>
      <c r="E20" s="49"/>
      <c r="F20" s="49"/>
      <c r="G20" s="49"/>
      <c r="H20" s="51">
        <v>600</v>
      </c>
      <c r="I20" s="51" t="s">
        <v>268</v>
      </c>
      <c r="J20" s="51">
        <v>80</v>
      </c>
      <c r="K20" s="51" t="s">
        <v>217</v>
      </c>
      <c r="L20" s="51">
        <v>20</v>
      </c>
      <c r="M20" s="51"/>
      <c r="N20" s="51"/>
      <c r="O20" s="51"/>
    </row>
    <row r="21" spans="1:15" x14ac:dyDescent="0.3">
      <c r="A21" s="49" t="s">
        <v>402</v>
      </c>
      <c r="B21" s="49" t="s">
        <v>230</v>
      </c>
      <c r="C21" s="49" t="s">
        <v>403</v>
      </c>
      <c r="D21" s="49" t="s">
        <v>231</v>
      </c>
      <c r="E21" s="49"/>
      <c r="F21" s="49"/>
      <c r="G21" s="49"/>
      <c r="H21" s="51">
        <v>100</v>
      </c>
      <c r="I21" s="51" t="s">
        <v>268</v>
      </c>
      <c r="J21" s="51">
        <v>50</v>
      </c>
      <c r="K21" s="51" t="s">
        <v>217</v>
      </c>
      <c r="L21" s="51">
        <v>20</v>
      </c>
      <c r="M21" s="51"/>
      <c r="N21" s="51"/>
      <c r="O21" s="51"/>
    </row>
    <row r="22" spans="1:15" x14ac:dyDescent="0.3">
      <c r="A22" s="49" t="s">
        <v>402</v>
      </c>
      <c r="B22" s="49" t="s">
        <v>14</v>
      </c>
      <c r="C22" s="49" t="s">
        <v>403</v>
      </c>
      <c r="D22" s="49" t="s">
        <v>268</v>
      </c>
      <c r="E22" s="49"/>
      <c r="F22" s="49"/>
      <c r="G22" s="49"/>
      <c r="H22" s="51">
        <v>150</v>
      </c>
      <c r="I22" s="51" t="s">
        <v>268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402</v>
      </c>
      <c r="B23" s="49" t="s">
        <v>35</v>
      </c>
      <c r="C23" s="49" t="s">
        <v>403</v>
      </c>
      <c r="D23" s="49" t="s">
        <v>228</v>
      </c>
      <c r="E23" s="49"/>
      <c r="F23" s="49"/>
      <c r="G23" s="49"/>
      <c r="H23" s="51">
        <v>300</v>
      </c>
      <c r="I23" s="51" t="s">
        <v>268</v>
      </c>
      <c r="J23" s="51">
        <v>50</v>
      </c>
      <c r="K23" s="51" t="s">
        <v>217</v>
      </c>
      <c r="L23" s="51">
        <v>50</v>
      </c>
      <c r="M23" s="51"/>
      <c r="N23" s="51"/>
      <c r="O23" s="51"/>
    </row>
    <row r="24" spans="1:15" x14ac:dyDescent="0.3">
      <c r="A24" s="49" t="s">
        <v>402</v>
      </c>
      <c r="B24" s="49" t="s">
        <v>40</v>
      </c>
      <c r="C24" s="49" t="s">
        <v>404</v>
      </c>
      <c r="D24" s="49" t="s">
        <v>235</v>
      </c>
      <c r="E24" s="49"/>
      <c r="F24" s="49"/>
      <c r="G24" s="49"/>
      <c r="H24" s="51">
        <v>500</v>
      </c>
      <c r="I24" s="51" t="s">
        <v>268</v>
      </c>
      <c r="J24" s="51">
        <v>30</v>
      </c>
      <c r="K24" s="51" t="s">
        <v>360</v>
      </c>
      <c r="L24" s="51">
        <v>100</v>
      </c>
      <c r="M24" s="51"/>
      <c r="N24" s="51"/>
      <c r="O24" s="51"/>
    </row>
    <row r="25" spans="1:15" x14ac:dyDescent="0.3">
      <c r="A25" s="49" t="s">
        <v>402</v>
      </c>
      <c r="B25" s="49" t="s">
        <v>31</v>
      </c>
      <c r="C25" s="49" t="s">
        <v>403</v>
      </c>
      <c r="D25" s="49" t="s">
        <v>228</v>
      </c>
      <c r="E25" s="49"/>
      <c r="F25" s="49"/>
      <c r="G25" s="49"/>
      <c r="H25" s="51">
        <v>800</v>
      </c>
      <c r="I25" s="51" t="s">
        <v>268</v>
      </c>
      <c r="J25" s="51">
        <v>50</v>
      </c>
      <c r="K25" s="51" t="s">
        <v>217</v>
      </c>
      <c r="L25" s="51">
        <v>100</v>
      </c>
      <c r="M25" s="51"/>
      <c r="N25" s="51"/>
      <c r="O25" s="51"/>
    </row>
    <row r="26" spans="1:15" x14ac:dyDescent="0.3">
      <c r="A26" s="49" t="s">
        <v>402</v>
      </c>
      <c r="B26" s="49" t="s">
        <v>245</v>
      </c>
      <c r="C26" s="49" t="s">
        <v>403</v>
      </c>
      <c r="D26" s="49" t="s">
        <v>365</v>
      </c>
      <c r="E26" s="49"/>
      <c r="F26" s="49"/>
      <c r="G26" s="49"/>
      <c r="H26" s="51">
        <v>1000</v>
      </c>
      <c r="I26" s="51" t="s">
        <v>275</v>
      </c>
      <c r="J26" s="51">
        <v>10</v>
      </c>
      <c r="K26" s="51"/>
      <c r="L26" s="51"/>
      <c r="M26" s="51"/>
      <c r="N26" s="51"/>
      <c r="O26" s="51"/>
    </row>
    <row r="27" spans="1:15" s="129" customFormat="1" x14ac:dyDescent="0.3">
      <c r="A27" s="126" t="s">
        <v>188</v>
      </c>
      <c r="B27" s="126" t="s">
        <v>398</v>
      </c>
      <c r="C27" s="126" t="s">
        <v>399</v>
      </c>
      <c r="D27" s="126" t="s">
        <v>405</v>
      </c>
      <c r="E27" s="126"/>
      <c r="F27" s="126"/>
      <c r="G27" s="126"/>
      <c r="H27" s="127" t="s">
        <v>235</v>
      </c>
      <c r="I27" s="127" t="s">
        <v>401</v>
      </c>
      <c r="J27" s="127" t="s">
        <v>175</v>
      </c>
      <c r="K27" s="127" t="s">
        <v>401</v>
      </c>
      <c r="L27" s="127" t="s">
        <v>175</v>
      </c>
      <c r="M27" s="127" t="s">
        <v>401</v>
      </c>
      <c r="N27" s="127" t="s">
        <v>175</v>
      </c>
      <c r="O27" s="127" t="s">
        <v>422</v>
      </c>
    </row>
    <row r="28" spans="1:15" x14ac:dyDescent="0.3">
      <c r="A28" s="49" t="s">
        <v>406</v>
      </c>
      <c r="B28" s="49" t="s">
        <v>304</v>
      </c>
      <c r="C28" s="49" t="s">
        <v>407</v>
      </c>
      <c r="D28" s="49" t="s">
        <v>303</v>
      </c>
      <c r="E28" s="49"/>
      <c r="F28" s="49"/>
      <c r="G28" s="49"/>
      <c r="H28" s="51">
        <v>1000</v>
      </c>
      <c r="I28" s="51" t="s">
        <v>217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406</v>
      </c>
      <c r="B29" s="49" t="s">
        <v>280</v>
      </c>
      <c r="C29" s="49" t="s">
        <v>357</v>
      </c>
      <c r="D29" s="49" t="s">
        <v>284</v>
      </c>
      <c r="E29" s="49"/>
      <c r="F29" s="49"/>
      <c r="G29" s="49"/>
      <c r="H29" s="51">
        <v>500</v>
      </c>
      <c r="I29" s="51" t="s">
        <v>217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406</v>
      </c>
      <c r="B30" s="49" t="s">
        <v>294</v>
      </c>
      <c r="C30" s="49"/>
      <c r="D30" s="49" t="s">
        <v>295</v>
      </c>
      <c r="E30" s="49"/>
      <c r="F30" s="49"/>
      <c r="G30" s="49"/>
      <c r="H30" s="51">
        <v>300</v>
      </c>
      <c r="I30" s="51" t="s">
        <v>268</v>
      </c>
      <c r="J30" s="51">
        <v>100</v>
      </c>
      <c r="K30" s="51" t="s">
        <v>275</v>
      </c>
      <c r="L30" s="51">
        <v>10</v>
      </c>
      <c r="M30" s="51"/>
      <c r="N30" s="51"/>
      <c r="O30" s="51"/>
    </row>
    <row r="31" spans="1:15" x14ac:dyDescent="0.3">
      <c r="A31" s="49" t="s">
        <v>406</v>
      </c>
      <c r="B31" s="49" t="s">
        <v>281</v>
      </c>
      <c r="C31" s="49" t="s">
        <v>357</v>
      </c>
      <c r="D31" s="49" t="s">
        <v>224</v>
      </c>
      <c r="E31" s="49"/>
      <c r="F31" s="49"/>
      <c r="G31" s="49"/>
      <c r="H31" s="51">
        <v>700</v>
      </c>
      <c r="I31" s="51" t="s">
        <v>217</v>
      </c>
      <c r="J31" s="51">
        <v>100</v>
      </c>
      <c r="K31" s="51" t="s">
        <v>268</v>
      </c>
      <c r="L31" s="51">
        <v>100</v>
      </c>
      <c r="M31" s="51"/>
      <c r="N31" s="51"/>
      <c r="O31" s="51"/>
    </row>
    <row r="32" spans="1:15" x14ac:dyDescent="0.3">
      <c r="A32" s="49" t="s">
        <v>406</v>
      </c>
      <c r="B32" s="49" t="s">
        <v>297</v>
      </c>
      <c r="C32" s="49" t="s">
        <v>408</v>
      </c>
      <c r="D32" s="49" t="s">
        <v>298</v>
      </c>
      <c r="E32" s="49"/>
      <c r="F32" s="49"/>
      <c r="G32" s="49"/>
      <c r="H32" s="51">
        <v>1500</v>
      </c>
      <c r="I32" s="51" t="s">
        <v>268</v>
      </c>
      <c r="J32" s="51">
        <v>300</v>
      </c>
      <c r="K32" s="51" t="s">
        <v>217</v>
      </c>
      <c r="L32" s="51">
        <v>100</v>
      </c>
      <c r="M32" s="51"/>
      <c r="N32" s="51"/>
      <c r="O32" s="51"/>
    </row>
    <row r="33" spans="1:15" x14ac:dyDescent="0.3">
      <c r="A33" s="49" t="s">
        <v>406</v>
      </c>
      <c r="B33" s="49" t="s">
        <v>309</v>
      </c>
      <c r="C33" s="49"/>
      <c r="D33" s="49" t="s">
        <v>310</v>
      </c>
      <c r="E33" s="49"/>
      <c r="F33" s="49"/>
      <c r="G33" s="49"/>
      <c r="H33" s="51">
        <v>400</v>
      </c>
      <c r="I33" s="51" t="s">
        <v>217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406</v>
      </c>
      <c r="B34" s="49" t="s">
        <v>312</v>
      </c>
      <c r="C34" s="49" t="s">
        <v>357</v>
      </c>
      <c r="D34" s="49" t="s">
        <v>313</v>
      </c>
      <c r="E34" s="49"/>
      <c r="F34" s="49"/>
      <c r="G34" s="49"/>
      <c r="H34" s="51">
        <v>700</v>
      </c>
      <c r="I34" s="51" t="s">
        <v>217</v>
      </c>
      <c r="J34" s="51">
        <v>100</v>
      </c>
      <c r="K34" s="51" t="s">
        <v>360</v>
      </c>
      <c r="L34" s="51">
        <v>300</v>
      </c>
      <c r="M34" s="51"/>
      <c r="N34" s="51"/>
      <c r="O34" s="51"/>
    </row>
    <row r="35" spans="1:15" x14ac:dyDescent="0.3">
      <c r="A35" s="49" t="s">
        <v>406</v>
      </c>
      <c r="B35" s="49" t="s">
        <v>278</v>
      </c>
      <c r="C35" s="49"/>
      <c r="D35" s="49" t="s">
        <v>279</v>
      </c>
      <c r="E35" s="49"/>
      <c r="F35" s="49"/>
      <c r="G35" s="49"/>
      <c r="H35" s="51">
        <v>800</v>
      </c>
      <c r="I35" s="51" t="s">
        <v>268</v>
      </c>
      <c r="J35" s="51">
        <v>300</v>
      </c>
      <c r="K35" s="51" t="s">
        <v>217</v>
      </c>
      <c r="L35" s="51">
        <v>100</v>
      </c>
      <c r="M35" s="51" t="s">
        <v>275</v>
      </c>
      <c r="N35" s="51">
        <v>5</v>
      </c>
      <c r="O35" s="51"/>
    </row>
    <row r="36" spans="1:15" x14ac:dyDescent="0.3">
      <c r="A36" s="49" t="s">
        <v>406</v>
      </c>
      <c r="B36" s="49" t="s">
        <v>276</v>
      </c>
      <c r="C36" s="49" t="s">
        <v>357</v>
      </c>
      <c r="D36" s="49" t="s">
        <v>277</v>
      </c>
      <c r="E36" s="49"/>
      <c r="F36" s="49"/>
      <c r="G36" s="49"/>
      <c r="H36" s="51">
        <v>800</v>
      </c>
      <c r="I36" s="51" t="s">
        <v>360</v>
      </c>
      <c r="J36" s="51">
        <v>100</v>
      </c>
      <c r="K36" s="51" t="s">
        <v>268</v>
      </c>
      <c r="L36" s="51">
        <v>100</v>
      </c>
      <c r="M36" s="51"/>
      <c r="N36" s="51"/>
      <c r="O36" s="51"/>
    </row>
    <row r="37" spans="1:15" x14ac:dyDescent="0.3">
      <c r="A37" s="49" t="s">
        <v>406</v>
      </c>
      <c r="B37" s="49" t="s">
        <v>273</v>
      </c>
      <c r="C37" s="49" t="s">
        <v>357</v>
      </c>
      <c r="D37" s="49" t="s">
        <v>275</v>
      </c>
      <c r="E37" s="49"/>
      <c r="F37" s="49"/>
      <c r="G37" s="49"/>
      <c r="H37" s="51">
        <v>700</v>
      </c>
      <c r="I37" s="51" t="s">
        <v>217</v>
      </c>
      <c r="J37" s="51">
        <v>200</v>
      </c>
      <c r="K37" s="51" t="s">
        <v>360</v>
      </c>
      <c r="L37" s="51">
        <v>100</v>
      </c>
      <c r="M37" s="51"/>
      <c r="N37" s="51"/>
      <c r="O37" s="51"/>
    </row>
    <row r="38" spans="1:15" x14ac:dyDescent="0.3">
      <c r="A38" s="49" t="s">
        <v>406</v>
      </c>
      <c r="B38" s="49" t="s">
        <v>302</v>
      </c>
      <c r="C38" s="49"/>
      <c r="D38" s="49" t="s">
        <v>226</v>
      </c>
      <c r="E38" s="49"/>
      <c r="F38" s="49"/>
      <c r="G38" s="49"/>
      <c r="H38" s="51">
        <v>300</v>
      </c>
      <c r="I38" s="51" t="s">
        <v>268</v>
      </c>
      <c r="J38" s="51">
        <v>300</v>
      </c>
      <c r="K38" s="51" t="s">
        <v>360</v>
      </c>
      <c r="L38" s="51">
        <v>50</v>
      </c>
      <c r="M38" s="51"/>
      <c r="N38" s="51"/>
      <c r="O38" s="51"/>
    </row>
    <row r="39" spans="1:15" x14ac:dyDescent="0.3">
      <c r="A39" s="49" t="s">
        <v>406</v>
      </c>
      <c r="B39" s="49" t="s">
        <v>274</v>
      </c>
      <c r="C39" s="49" t="s">
        <v>357</v>
      </c>
      <c r="D39" s="49" t="s">
        <v>296</v>
      </c>
      <c r="E39" s="49"/>
      <c r="F39" s="49"/>
      <c r="G39" s="49"/>
      <c r="H39" s="51">
        <v>900</v>
      </c>
      <c r="I39" s="51" t="s">
        <v>217</v>
      </c>
      <c r="J39" s="51">
        <v>200</v>
      </c>
      <c r="K39" s="51" t="s">
        <v>360</v>
      </c>
      <c r="L39" s="51">
        <v>200</v>
      </c>
      <c r="M39" s="51"/>
      <c r="N39" s="51"/>
      <c r="O39" s="51"/>
    </row>
    <row r="40" spans="1:15" x14ac:dyDescent="0.3">
      <c r="A40" s="49" t="s">
        <v>406</v>
      </c>
      <c r="B40" s="49" t="s">
        <v>307</v>
      </c>
      <c r="C40" s="49" t="s">
        <v>357</v>
      </c>
      <c r="D40" s="49" t="s">
        <v>308</v>
      </c>
      <c r="E40" s="49"/>
      <c r="F40" s="49"/>
      <c r="G40" s="49"/>
      <c r="H40" s="51">
        <v>600</v>
      </c>
      <c r="I40" s="51" t="s">
        <v>268</v>
      </c>
      <c r="J40" s="51">
        <v>200</v>
      </c>
      <c r="K40" s="51" t="s">
        <v>217</v>
      </c>
      <c r="L40" s="51">
        <v>100</v>
      </c>
      <c r="M40" s="51"/>
      <c r="N40" s="51"/>
      <c r="O40" s="51"/>
    </row>
    <row r="41" spans="1:15" x14ac:dyDescent="0.3">
      <c r="A41" s="49" t="s">
        <v>406</v>
      </c>
      <c r="B41" s="49" t="s">
        <v>362</v>
      </c>
      <c r="C41" s="49" t="s">
        <v>408</v>
      </c>
      <c r="D41" s="49" t="s">
        <v>361</v>
      </c>
      <c r="E41" s="49"/>
      <c r="F41" s="49"/>
      <c r="G41" s="49"/>
      <c r="H41" s="51">
        <v>1000</v>
      </c>
      <c r="I41" s="51" t="s">
        <v>268</v>
      </c>
      <c r="J41" s="51">
        <v>300</v>
      </c>
      <c r="K41" s="51" t="s">
        <v>360</v>
      </c>
      <c r="L41" s="51">
        <v>100</v>
      </c>
      <c r="M41" s="51"/>
      <c r="N41" s="51"/>
      <c r="O41" s="51"/>
    </row>
    <row r="42" spans="1:15" s="129" customFormat="1" x14ac:dyDescent="0.3">
      <c r="A42" s="126" t="s">
        <v>188</v>
      </c>
      <c r="B42" s="126" t="s">
        <v>77</v>
      </c>
      <c r="C42" s="126" t="s">
        <v>399</v>
      </c>
      <c r="D42" s="126" t="s">
        <v>386</v>
      </c>
      <c r="E42" s="126" t="s">
        <v>409</v>
      </c>
      <c r="F42" s="126" t="s">
        <v>388</v>
      </c>
      <c r="G42" s="126" t="s">
        <v>410</v>
      </c>
      <c r="H42" s="127" t="s">
        <v>235</v>
      </c>
      <c r="I42" s="127" t="s">
        <v>401</v>
      </c>
      <c r="J42" s="127" t="s">
        <v>175</v>
      </c>
      <c r="K42" s="127" t="s">
        <v>401</v>
      </c>
      <c r="L42" s="127" t="s">
        <v>175</v>
      </c>
      <c r="M42" s="127" t="s">
        <v>401</v>
      </c>
      <c r="N42" s="127" t="s">
        <v>175</v>
      </c>
      <c r="O42" s="127" t="s">
        <v>422</v>
      </c>
    </row>
    <row r="43" spans="1:15" x14ac:dyDescent="0.3">
      <c r="A43" s="49" t="s">
        <v>337</v>
      </c>
      <c r="B43" s="49" t="s">
        <v>384</v>
      </c>
      <c r="C43" s="49" t="s">
        <v>289</v>
      </c>
      <c r="D43" s="49" t="s">
        <v>221</v>
      </c>
      <c r="E43" s="49">
        <v>2</v>
      </c>
      <c r="F43" s="49" t="s">
        <v>411</v>
      </c>
      <c r="G43" s="49" t="s">
        <v>411</v>
      </c>
      <c r="H43" s="51">
        <v>500</v>
      </c>
      <c r="I43" s="51" t="s">
        <v>268</v>
      </c>
      <c r="J43" s="51">
        <v>20</v>
      </c>
      <c r="K43" s="51" t="s">
        <v>275</v>
      </c>
      <c r="L43" s="51">
        <v>1</v>
      </c>
      <c r="M43" s="51"/>
      <c r="N43" s="51"/>
      <c r="O43" s="51"/>
    </row>
    <row r="44" spans="1:15" x14ac:dyDescent="0.3">
      <c r="A44" s="49" t="s">
        <v>337</v>
      </c>
      <c r="B44" s="49" t="s">
        <v>317</v>
      </c>
      <c r="C44" s="49" t="s">
        <v>357</v>
      </c>
      <c r="D44" s="49" t="s">
        <v>358</v>
      </c>
      <c r="E44" s="49">
        <v>2</v>
      </c>
      <c r="F44" s="49" t="s">
        <v>411</v>
      </c>
      <c r="G44" s="49" t="s">
        <v>411</v>
      </c>
      <c r="H44" s="51">
        <v>1500</v>
      </c>
      <c r="I44" s="51" t="s">
        <v>210</v>
      </c>
      <c r="J44" s="51">
        <v>50</v>
      </c>
      <c r="K44" s="51" t="s">
        <v>217</v>
      </c>
      <c r="L44" s="51">
        <v>400</v>
      </c>
      <c r="M44" s="51"/>
      <c r="N44" s="51"/>
      <c r="O44" s="51"/>
    </row>
    <row r="45" spans="1:15" x14ac:dyDescent="0.3">
      <c r="A45" s="49" t="s">
        <v>337</v>
      </c>
      <c r="B45" s="49" t="s">
        <v>314</v>
      </c>
      <c r="C45" s="49" t="s">
        <v>357</v>
      </c>
      <c r="D45" s="49" t="s">
        <v>235</v>
      </c>
      <c r="E45" s="49">
        <v>50</v>
      </c>
      <c r="F45" s="49" t="s">
        <v>411</v>
      </c>
      <c r="G45" s="49" t="s">
        <v>411</v>
      </c>
      <c r="H45" s="51">
        <v>2000</v>
      </c>
      <c r="I45" s="51" t="s">
        <v>360</v>
      </c>
      <c r="J45" s="51">
        <v>500</v>
      </c>
      <c r="K45" s="51" t="s">
        <v>210</v>
      </c>
      <c r="L45" s="51">
        <v>200</v>
      </c>
      <c r="M45" s="51"/>
      <c r="N45" s="51"/>
      <c r="O45" s="51"/>
    </row>
    <row r="46" spans="1:15" x14ac:dyDescent="0.3">
      <c r="A46" s="49" t="s">
        <v>337</v>
      </c>
      <c r="B46" s="49" t="s">
        <v>305</v>
      </c>
      <c r="C46" s="49" t="s">
        <v>357</v>
      </c>
      <c r="D46" s="49" t="s">
        <v>358</v>
      </c>
      <c r="E46" s="49">
        <v>3</v>
      </c>
      <c r="F46" s="49" t="s">
        <v>411</v>
      </c>
      <c r="G46" s="49" t="s">
        <v>411</v>
      </c>
      <c r="H46" s="51">
        <v>2500</v>
      </c>
      <c r="I46" s="51" t="s">
        <v>360</v>
      </c>
      <c r="J46" s="51">
        <v>400</v>
      </c>
      <c r="K46" s="51" t="s">
        <v>210</v>
      </c>
      <c r="L46" s="51">
        <v>300</v>
      </c>
      <c r="M46" s="51"/>
      <c r="N46" s="51"/>
      <c r="O46" s="51"/>
    </row>
    <row r="47" spans="1:15" x14ac:dyDescent="0.3">
      <c r="A47" s="49" t="s">
        <v>337</v>
      </c>
      <c r="B47" s="49" t="s">
        <v>376</v>
      </c>
      <c r="C47" s="49" t="s">
        <v>216</v>
      </c>
      <c r="D47" s="49" t="s">
        <v>217</v>
      </c>
      <c r="E47" s="49">
        <v>2</v>
      </c>
      <c r="F47" s="49" t="s">
        <v>411</v>
      </c>
      <c r="G47" s="49" t="s">
        <v>411</v>
      </c>
      <c r="H47" s="51">
        <v>200</v>
      </c>
      <c r="I47" s="51" t="s">
        <v>217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337</v>
      </c>
      <c r="B48" s="49" t="s">
        <v>348</v>
      </c>
      <c r="C48" s="49" t="s">
        <v>412</v>
      </c>
      <c r="D48" s="49" t="s">
        <v>195</v>
      </c>
      <c r="E48" s="49">
        <v>2</v>
      </c>
      <c r="F48" s="49" t="s">
        <v>411</v>
      </c>
      <c r="G48" s="49" t="s">
        <v>411</v>
      </c>
      <c r="H48" s="51">
        <v>200</v>
      </c>
      <c r="I48" s="51" t="s">
        <v>217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337</v>
      </c>
      <c r="B49" s="49" t="s">
        <v>290</v>
      </c>
      <c r="C49" s="49" t="s">
        <v>413</v>
      </c>
      <c r="D49" s="49" t="s">
        <v>365</v>
      </c>
      <c r="E49" s="49">
        <v>2</v>
      </c>
      <c r="F49" s="49" t="s">
        <v>411</v>
      </c>
      <c r="G49" s="49" t="s">
        <v>411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337</v>
      </c>
      <c r="B50" s="49" t="s">
        <v>301</v>
      </c>
      <c r="C50" s="49" t="s">
        <v>414</v>
      </c>
      <c r="D50" s="49" t="s">
        <v>352</v>
      </c>
      <c r="E50" s="49">
        <v>100</v>
      </c>
      <c r="F50" s="49" t="s">
        <v>354</v>
      </c>
      <c r="G50" s="49">
        <v>5</v>
      </c>
      <c r="H50" s="51">
        <v>5000</v>
      </c>
      <c r="I50" s="51" t="s">
        <v>360</v>
      </c>
      <c r="J50" s="51">
        <v>5000</v>
      </c>
      <c r="K50" s="51" t="s">
        <v>268</v>
      </c>
      <c r="L50" s="51">
        <v>500</v>
      </c>
      <c r="M50" s="51"/>
      <c r="N50" s="51"/>
      <c r="O50" s="51"/>
    </row>
    <row r="51" spans="1:15" x14ac:dyDescent="0.3">
      <c r="A51" s="49" t="s">
        <v>337</v>
      </c>
      <c r="B51" s="49" t="s">
        <v>381</v>
      </c>
      <c r="C51" s="49" t="s">
        <v>248</v>
      </c>
      <c r="D51" s="49" t="s">
        <v>382</v>
      </c>
      <c r="E51" s="49">
        <v>2</v>
      </c>
      <c r="F51" s="49" t="s">
        <v>411</v>
      </c>
      <c r="G51" s="49" t="s">
        <v>411</v>
      </c>
      <c r="H51" s="51">
        <v>100</v>
      </c>
      <c r="I51" s="51" t="s">
        <v>275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337</v>
      </c>
      <c r="B52" s="49" t="s">
        <v>306</v>
      </c>
      <c r="C52" s="49"/>
      <c r="D52" s="49" t="s">
        <v>358</v>
      </c>
      <c r="E52" s="49">
        <v>1</v>
      </c>
      <c r="F52" s="49" t="s">
        <v>411</v>
      </c>
      <c r="G52" s="49" t="s">
        <v>411</v>
      </c>
      <c r="H52" s="51">
        <v>100</v>
      </c>
      <c r="I52" s="51" t="s">
        <v>268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337</v>
      </c>
      <c r="B53" s="49" t="s">
        <v>377</v>
      </c>
      <c r="C53" s="49" t="s">
        <v>250</v>
      </c>
      <c r="D53" s="49" t="s">
        <v>378</v>
      </c>
      <c r="E53" s="49">
        <v>2</v>
      </c>
      <c r="F53" s="49" t="s">
        <v>411</v>
      </c>
      <c r="G53" s="49" t="s">
        <v>411</v>
      </c>
      <c r="H53" s="51">
        <v>800</v>
      </c>
      <c r="I53" s="51" t="s">
        <v>360</v>
      </c>
      <c r="J53" s="51">
        <v>50</v>
      </c>
      <c r="K53" s="51" t="s">
        <v>268</v>
      </c>
      <c r="L53" s="51">
        <v>150</v>
      </c>
      <c r="M53" s="51"/>
      <c r="N53" s="51"/>
      <c r="O53" s="51"/>
    </row>
    <row r="54" spans="1:15" x14ac:dyDescent="0.3">
      <c r="A54" s="49" t="s">
        <v>337</v>
      </c>
      <c r="B54" s="49" t="s">
        <v>349</v>
      </c>
      <c r="C54" s="49" t="s">
        <v>415</v>
      </c>
      <c r="D54" s="49" t="s">
        <v>199</v>
      </c>
      <c r="E54" s="49">
        <v>2</v>
      </c>
      <c r="F54" s="49" t="s">
        <v>411</v>
      </c>
      <c r="G54" s="49" t="s">
        <v>411</v>
      </c>
      <c r="H54" s="51">
        <v>400</v>
      </c>
      <c r="I54" s="51" t="s">
        <v>217</v>
      </c>
      <c r="J54" s="51">
        <v>200</v>
      </c>
      <c r="K54" s="51" t="s">
        <v>360</v>
      </c>
      <c r="L54" s="51">
        <v>100</v>
      </c>
      <c r="M54" s="51"/>
      <c r="N54" s="51"/>
      <c r="O54" s="51"/>
    </row>
    <row r="55" spans="1:15" x14ac:dyDescent="0.3">
      <c r="A55" s="49" t="s">
        <v>337</v>
      </c>
      <c r="B55" s="49" t="s">
        <v>347</v>
      </c>
      <c r="C55" s="49" t="s">
        <v>247</v>
      </c>
      <c r="D55" s="49" t="s">
        <v>205</v>
      </c>
      <c r="E55" s="49">
        <v>2</v>
      </c>
      <c r="F55" s="49" t="s">
        <v>411</v>
      </c>
      <c r="G55" s="49" t="s">
        <v>411</v>
      </c>
      <c r="H55" s="51">
        <v>100</v>
      </c>
      <c r="I55" s="51" t="s">
        <v>217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337</v>
      </c>
      <c r="B56" s="49" t="s">
        <v>315</v>
      </c>
      <c r="C56" s="49"/>
      <c r="D56" s="49" t="s">
        <v>358</v>
      </c>
      <c r="E56" s="49">
        <v>3</v>
      </c>
      <c r="F56" s="49" t="s">
        <v>411</v>
      </c>
      <c r="G56" s="49" t="s">
        <v>411</v>
      </c>
      <c r="H56" s="51">
        <v>500</v>
      </c>
      <c r="I56" s="51" t="s">
        <v>224</v>
      </c>
      <c r="J56" s="51">
        <v>100</v>
      </c>
      <c r="K56" s="51" t="s">
        <v>269</v>
      </c>
      <c r="L56" s="51">
        <v>100</v>
      </c>
      <c r="M56" s="51" t="s">
        <v>252</v>
      </c>
      <c r="N56" s="51">
        <v>100</v>
      </c>
      <c r="O56" s="51"/>
    </row>
    <row r="57" spans="1:15" x14ac:dyDescent="0.3">
      <c r="A57" s="49" t="s">
        <v>337</v>
      </c>
      <c r="B57" s="49" t="s">
        <v>364</v>
      </c>
      <c r="C57" s="49" t="s">
        <v>31</v>
      </c>
      <c r="D57" s="49" t="s">
        <v>235</v>
      </c>
      <c r="E57" s="49">
        <v>30</v>
      </c>
      <c r="F57" s="49" t="s">
        <v>411</v>
      </c>
      <c r="G57" s="49" t="s">
        <v>411</v>
      </c>
      <c r="H57" s="51">
        <v>1000</v>
      </c>
      <c r="I57" s="51" t="s">
        <v>217</v>
      </c>
      <c r="J57" s="51">
        <v>300</v>
      </c>
      <c r="K57" s="51" t="s">
        <v>268</v>
      </c>
      <c r="L57" s="51">
        <v>200</v>
      </c>
      <c r="M57" s="51"/>
      <c r="N57" s="51"/>
      <c r="O57" s="51"/>
    </row>
    <row r="58" spans="1:15" x14ac:dyDescent="0.3">
      <c r="A58" s="49" t="s">
        <v>337</v>
      </c>
      <c r="B58" s="49" t="s">
        <v>316</v>
      </c>
      <c r="C58" s="49"/>
      <c r="D58" s="49" t="s">
        <v>358</v>
      </c>
      <c r="E58" s="49">
        <v>1</v>
      </c>
      <c r="F58" s="49" t="s">
        <v>138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337</v>
      </c>
      <c r="B59" s="49" t="s">
        <v>372</v>
      </c>
      <c r="C59" s="49" t="s">
        <v>77</v>
      </c>
      <c r="D59" s="49" t="s">
        <v>192</v>
      </c>
      <c r="E59" s="49">
        <v>2</v>
      </c>
      <c r="F59" s="49" t="s">
        <v>411</v>
      </c>
      <c r="G59" s="49" t="s">
        <v>411</v>
      </c>
      <c r="H59" s="51">
        <v>100</v>
      </c>
      <c r="I59" s="51" t="s">
        <v>268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337</v>
      </c>
      <c r="B60" s="49" t="s">
        <v>383</v>
      </c>
      <c r="C60" s="49"/>
      <c r="D60" s="49" t="s">
        <v>253</v>
      </c>
      <c r="E60" s="49">
        <v>2</v>
      </c>
      <c r="F60" s="49" t="s">
        <v>411</v>
      </c>
      <c r="G60" s="49" t="s">
        <v>411</v>
      </c>
      <c r="H60" s="51">
        <v>200</v>
      </c>
      <c r="I60" s="51" t="s">
        <v>268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337</v>
      </c>
      <c r="B61" s="49" t="s">
        <v>300</v>
      </c>
      <c r="C61" s="49"/>
      <c r="D61" s="49" t="s">
        <v>352</v>
      </c>
      <c r="E61" s="49">
        <v>30</v>
      </c>
      <c r="F61" s="49" t="s">
        <v>354</v>
      </c>
      <c r="G61" s="49">
        <v>3</v>
      </c>
      <c r="H61" s="51">
        <v>1000</v>
      </c>
      <c r="I61" s="51" t="s">
        <v>217</v>
      </c>
      <c r="J61" s="51">
        <v>300</v>
      </c>
      <c r="K61" s="51" t="s">
        <v>268</v>
      </c>
      <c r="L61" s="51">
        <v>100</v>
      </c>
      <c r="M61" s="51"/>
      <c r="N61" s="51"/>
      <c r="O61" s="51"/>
    </row>
    <row r="62" spans="1:15" x14ac:dyDescent="0.3">
      <c r="A62" s="49" t="s">
        <v>337</v>
      </c>
      <c r="B62" s="49" t="s">
        <v>285</v>
      </c>
      <c r="C62" s="49" t="s">
        <v>270</v>
      </c>
      <c r="D62" s="49" t="s">
        <v>358</v>
      </c>
      <c r="E62" s="49">
        <v>1</v>
      </c>
      <c r="F62" s="49" t="s">
        <v>411</v>
      </c>
      <c r="G62" s="49" t="s">
        <v>411</v>
      </c>
      <c r="H62" s="51">
        <v>500</v>
      </c>
      <c r="I62" s="51" t="s">
        <v>360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337</v>
      </c>
      <c r="B63" s="49" t="s">
        <v>371</v>
      </c>
      <c r="C63" s="49"/>
      <c r="D63" s="49" t="s">
        <v>359</v>
      </c>
      <c r="E63" s="49" t="s">
        <v>411</v>
      </c>
      <c r="F63" s="49" t="s">
        <v>411</v>
      </c>
      <c r="G63" s="49" t="s">
        <v>411</v>
      </c>
      <c r="H63" s="51">
        <v>100</v>
      </c>
      <c r="I63" s="51" t="s">
        <v>268</v>
      </c>
      <c r="J63" s="51">
        <v>50</v>
      </c>
      <c r="K63" s="51" t="s">
        <v>217</v>
      </c>
      <c r="L63" s="51">
        <v>50</v>
      </c>
      <c r="M63" s="51"/>
      <c r="N63" s="51"/>
      <c r="O63" s="51"/>
    </row>
    <row r="64" spans="1:15" x14ac:dyDescent="0.3">
      <c r="A64" s="49" t="s">
        <v>337</v>
      </c>
      <c r="B64" s="49" t="s">
        <v>97</v>
      </c>
      <c r="C64" s="49"/>
      <c r="D64" s="49" t="s">
        <v>118</v>
      </c>
      <c r="E64" s="49">
        <v>-1</v>
      </c>
      <c r="F64" s="49" t="s">
        <v>354</v>
      </c>
      <c r="G64" s="49">
        <v>3</v>
      </c>
      <c r="H64" s="51">
        <v>1500</v>
      </c>
      <c r="I64" s="51" t="s">
        <v>360</v>
      </c>
      <c r="J64" s="51">
        <v>600</v>
      </c>
      <c r="K64" s="51" t="s">
        <v>365</v>
      </c>
      <c r="L64" s="51">
        <v>5</v>
      </c>
      <c r="M64" s="51"/>
      <c r="N64" s="51"/>
      <c r="O64" s="51"/>
    </row>
    <row r="65" spans="1:15" x14ac:dyDescent="0.3">
      <c r="A65" s="49" t="s">
        <v>337</v>
      </c>
      <c r="B65" s="49" t="s">
        <v>292</v>
      </c>
      <c r="C65" s="49"/>
      <c r="D65" s="49" t="s">
        <v>357</v>
      </c>
      <c r="E65" s="49">
        <v>2</v>
      </c>
      <c r="F65" s="49" t="s">
        <v>411</v>
      </c>
      <c r="G65" s="49" t="s">
        <v>411</v>
      </c>
      <c r="H65" s="51">
        <v>200</v>
      </c>
      <c r="I65" s="51" t="s">
        <v>360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337</v>
      </c>
      <c r="B66" s="49" t="s">
        <v>350</v>
      </c>
      <c r="C66" s="49" t="s">
        <v>416</v>
      </c>
      <c r="D66" s="49" t="s">
        <v>235</v>
      </c>
      <c r="E66" s="49">
        <v>100</v>
      </c>
      <c r="F66" s="49" t="s">
        <v>411</v>
      </c>
      <c r="G66" s="49" t="s">
        <v>411</v>
      </c>
      <c r="H66" s="51">
        <v>3000</v>
      </c>
      <c r="I66" s="51" t="s">
        <v>217</v>
      </c>
      <c r="J66" s="51">
        <v>700</v>
      </c>
      <c r="K66" s="51" t="s">
        <v>360</v>
      </c>
      <c r="L66" s="51">
        <v>700</v>
      </c>
      <c r="M66" s="51"/>
      <c r="N66" s="51"/>
      <c r="O66" s="51"/>
    </row>
    <row r="67" spans="1:15" x14ac:dyDescent="0.3">
      <c r="A67" s="49" t="s">
        <v>337</v>
      </c>
      <c r="B67" s="49" t="s">
        <v>293</v>
      </c>
      <c r="C67" s="49"/>
      <c r="D67" s="49" t="s">
        <v>357</v>
      </c>
      <c r="E67" s="49">
        <v>1</v>
      </c>
      <c r="F67" s="49" t="s">
        <v>354</v>
      </c>
      <c r="G67" s="49">
        <v>1</v>
      </c>
      <c r="H67" s="51">
        <v>100</v>
      </c>
      <c r="I67" s="51" t="s">
        <v>268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337</v>
      </c>
      <c r="B68" s="49" t="s">
        <v>385</v>
      </c>
      <c r="C68" s="49" t="s">
        <v>417</v>
      </c>
      <c r="D68" s="49" t="s">
        <v>138</v>
      </c>
      <c r="E68" s="49">
        <v>0.01</v>
      </c>
      <c r="F68" s="49" t="s">
        <v>411</v>
      </c>
      <c r="G68" s="49" t="s">
        <v>411</v>
      </c>
      <c r="H68" s="51">
        <v>500</v>
      </c>
      <c r="I68" s="51" t="s">
        <v>217</v>
      </c>
      <c r="J68" s="51">
        <v>300</v>
      </c>
      <c r="K68" s="51" t="s">
        <v>268</v>
      </c>
      <c r="L68" s="51">
        <v>100</v>
      </c>
      <c r="M68" s="51"/>
      <c r="N68" s="51"/>
      <c r="O68" s="51"/>
    </row>
    <row r="69" spans="1:15" x14ac:dyDescent="0.3">
      <c r="A69" s="49" t="s">
        <v>337</v>
      </c>
      <c r="B69" s="49" t="s">
        <v>366</v>
      </c>
      <c r="C69" s="49"/>
      <c r="D69" s="49" t="s">
        <v>367</v>
      </c>
      <c r="E69" s="49" t="s">
        <v>411</v>
      </c>
      <c r="F69" s="49" t="s">
        <v>411</v>
      </c>
      <c r="G69" s="49" t="s">
        <v>411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337</v>
      </c>
      <c r="B70" s="49" t="s">
        <v>288</v>
      </c>
      <c r="C70" s="49" t="s">
        <v>248</v>
      </c>
      <c r="D70" s="49" t="s">
        <v>268</v>
      </c>
      <c r="E70" s="49">
        <v>2</v>
      </c>
      <c r="F70" s="49" t="s">
        <v>411</v>
      </c>
      <c r="G70" s="49" t="s">
        <v>411</v>
      </c>
      <c r="H70" s="51">
        <v>200</v>
      </c>
      <c r="I70" s="51" t="s">
        <v>360</v>
      </c>
      <c r="J70" s="51">
        <v>50</v>
      </c>
      <c r="K70" s="51" t="s">
        <v>268</v>
      </c>
      <c r="L70" s="51">
        <v>100</v>
      </c>
      <c r="M70" s="51"/>
      <c r="N70" s="51"/>
      <c r="O70" s="51"/>
    </row>
    <row r="71" spans="1:15" x14ac:dyDescent="0.3">
      <c r="A71" s="49" t="s">
        <v>337</v>
      </c>
      <c r="B71" s="49" t="s">
        <v>380</v>
      </c>
      <c r="C71" s="49" t="s">
        <v>282</v>
      </c>
      <c r="D71" s="49" t="s">
        <v>219</v>
      </c>
      <c r="E71" s="49">
        <v>2</v>
      </c>
      <c r="F71" s="49" t="s">
        <v>411</v>
      </c>
      <c r="G71" s="49" t="s">
        <v>411</v>
      </c>
      <c r="H71" s="51">
        <v>50</v>
      </c>
      <c r="I71" s="51" t="s">
        <v>275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337</v>
      </c>
      <c r="B72" s="49" t="s">
        <v>351</v>
      </c>
      <c r="C72" s="49" t="s">
        <v>418</v>
      </c>
      <c r="D72" s="49" t="s">
        <v>197</v>
      </c>
      <c r="E72" s="49">
        <v>2</v>
      </c>
      <c r="F72" s="49" t="s">
        <v>411</v>
      </c>
      <c r="G72" s="49" t="s">
        <v>411</v>
      </c>
      <c r="H72" s="51">
        <v>300</v>
      </c>
      <c r="I72" s="51" t="s">
        <v>217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337</v>
      </c>
      <c r="B73" s="49" t="s">
        <v>291</v>
      </c>
      <c r="C73" s="49"/>
      <c r="D73" s="49" t="s">
        <v>235</v>
      </c>
      <c r="E73" s="49">
        <v>1</v>
      </c>
      <c r="F73" s="49" t="s">
        <v>354</v>
      </c>
      <c r="G73" s="49">
        <v>1</v>
      </c>
      <c r="H73" s="51">
        <v>50</v>
      </c>
      <c r="I73" s="51" t="s">
        <v>360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337</v>
      </c>
      <c r="B74" s="49" t="s">
        <v>287</v>
      </c>
      <c r="C74" s="49" t="s">
        <v>357</v>
      </c>
      <c r="D74" s="49" t="s">
        <v>358</v>
      </c>
      <c r="E74" s="49">
        <v>2</v>
      </c>
      <c r="F74" s="49" t="s">
        <v>138</v>
      </c>
      <c r="G74" s="49">
        <v>0.01</v>
      </c>
      <c r="H74" s="51">
        <v>600</v>
      </c>
      <c r="I74" s="51" t="s">
        <v>360</v>
      </c>
      <c r="J74" s="51">
        <v>100</v>
      </c>
      <c r="K74" s="51" t="s">
        <v>268</v>
      </c>
      <c r="L74" s="51">
        <v>300</v>
      </c>
      <c r="M74" s="51"/>
      <c r="N74" s="51"/>
      <c r="O74" s="51"/>
    </row>
    <row r="75" spans="1:15" x14ac:dyDescent="0.3">
      <c r="A75" s="49" t="s">
        <v>337</v>
      </c>
      <c r="B75" s="49" t="s">
        <v>311</v>
      </c>
      <c r="C75" s="49" t="s">
        <v>357</v>
      </c>
      <c r="D75" s="49" t="s">
        <v>358</v>
      </c>
      <c r="E75" s="49">
        <v>5</v>
      </c>
      <c r="F75" s="49" t="s">
        <v>411</v>
      </c>
      <c r="G75" s="49" t="s">
        <v>411</v>
      </c>
      <c r="H75" s="51">
        <v>1200</v>
      </c>
      <c r="I75" s="51" t="s">
        <v>217</v>
      </c>
      <c r="J75" s="51">
        <v>500</v>
      </c>
      <c r="K75" s="51" t="s">
        <v>210</v>
      </c>
      <c r="L75" s="51">
        <v>100</v>
      </c>
      <c r="M75" s="51" t="s">
        <v>275</v>
      </c>
      <c r="N75" s="51">
        <v>10</v>
      </c>
      <c r="O75" s="51"/>
    </row>
    <row r="76" spans="1:15" x14ac:dyDescent="0.3">
      <c r="A76" s="49" t="s">
        <v>337</v>
      </c>
      <c r="B76" s="49" t="s">
        <v>286</v>
      </c>
      <c r="C76" s="49"/>
      <c r="D76" s="49" t="s">
        <v>358</v>
      </c>
      <c r="E76" s="49">
        <v>1</v>
      </c>
      <c r="F76" s="49" t="s">
        <v>138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337</v>
      </c>
      <c r="B77" s="49" t="s">
        <v>299</v>
      </c>
      <c r="C77" s="49"/>
      <c r="D77" s="49" t="s">
        <v>352</v>
      </c>
      <c r="E77" s="49">
        <v>10</v>
      </c>
      <c r="F77" s="49" t="s">
        <v>354</v>
      </c>
      <c r="G77" s="49">
        <v>2</v>
      </c>
      <c r="H77" s="51">
        <v>500</v>
      </c>
      <c r="I77" s="51" t="s">
        <v>360</v>
      </c>
      <c r="J77" s="51">
        <v>200</v>
      </c>
      <c r="K77" s="51" t="s">
        <v>268</v>
      </c>
      <c r="L77" s="51">
        <v>100</v>
      </c>
      <c r="M77" s="51"/>
      <c r="N77" s="51"/>
      <c r="O77" s="51"/>
    </row>
    <row r="78" spans="1:15" x14ac:dyDescent="0.3">
      <c r="A78" s="49" t="s">
        <v>337</v>
      </c>
      <c r="B78" s="49" t="s">
        <v>379</v>
      </c>
      <c r="C78" s="49" t="s">
        <v>419</v>
      </c>
      <c r="D78" s="49" t="s">
        <v>201</v>
      </c>
      <c r="E78" s="49">
        <v>2</v>
      </c>
      <c r="F78" s="49" t="s">
        <v>411</v>
      </c>
      <c r="G78" s="49" t="s">
        <v>411</v>
      </c>
      <c r="H78" s="51">
        <v>100</v>
      </c>
      <c r="I78" s="51" t="s">
        <v>268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337</v>
      </c>
      <c r="B79" s="49" t="s">
        <v>390</v>
      </c>
      <c r="C79" s="49" t="s">
        <v>357</v>
      </c>
      <c r="D79" s="49" t="s">
        <v>275</v>
      </c>
      <c r="E79" s="49">
        <v>2</v>
      </c>
      <c r="F79" s="49" t="s">
        <v>411</v>
      </c>
      <c r="G79" s="49" t="s">
        <v>411</v>
      </c>
      <c r="H79" s="51">
        <v>300</v>
      </c>
      <c r="I79" s="51" t="s">
        <v>360</v>
      </c>
      <c r="J79" s="51">
        <v>100</v>
      </c>
      <c r="K79" s="51" t="s">
        <v>268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43"/>
  <sheetViews>
    <sheetView topLeftCell="A4" workbookViewId="0">
      <selection activeCell="C39" sqref="C39"/>
    </sheetView>
  </sheetViews>
  <sheetFormatPr baseColWidth="10" defaultRowHeight="16.5" x14ac:dyDescent="0.3"/>
  <cols>
    <col min="6" max="6" width="8.875" customWidth="1"/>
  </cols>
  <sheetData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B4" t="s">
        <v>424</v>
      </c>
      <c r="C4" t="s">
        <v>427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3</v>
      </c>
      <c r="E5" t="s">
        <v>113</v>
      </c>
      <c r="F5">
        <v>2</v>
      </c>
      <c r="G5" t="s">
        <v>282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B6" t="s">
        <v>425</v>
      </c>
      <c r="C6" t="s">
        <v>426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B8" t="s">
        <v>428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 s="134">
        <v>4</v>
      </c>
      <c r="E9" s="134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 s="134">
        <v>4</v>
      </c>
      <c r="E10" s="134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 s="134">
        <v>3</v>
      </c>
      <c r="E11" s="134" t="s">
        <v>113</v>
      </c>
      <c r="F11">
        <v>4</v>
      </c>
      <c r="G11" t="s">
        <v>246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 s="134">
        <v>3</v>
      </c>
      <c r="E12" s="134" t="s">
        <v>113</v>
      </c>
      <c r="F12">
        <v>3</v>
      </c>
      <c r="G12" t="s">
        <v>289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 s="134">
        <v>3</v>
      </c>
      <c r="E13" s="134" t="s">
        <v>113</v>
      </c>
      <c r="F13">
        <v>6</v>
      </c>
      <c r="G13" t="s">
        <v>270</v>
      </c>
      <c r="H13">
        <v>1</v>
      </c>
      <c r="I13" t="s">
        <v>15</v>
      </c>
      <c r="J13" t="s">
        <v>58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59</v>
      </c>
      <c r="C14" t="s">
        <v>60</v>
      </c>
      <c r="D14" s="134">
        <v>2</v>
      </c>
      <c r="E14" s="134" t="s">
        <v>61</v>
      </c>
      <c r="F14">
        <v>6</v>
      </c>
      <c r="G14" t="s">
        <v>62</v>
      </c>
      <c r="H14">
        <v>10</v>
      </c>
      <c r="I14" t="s">
        <v>63</v>
      </c>
      <c r="J14" t="s">
        <v>64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429</v>
      </c>
      <c r="C15" t="s">
        <v>65</v>
      </c>
      <c r="D15" s="134">
        <v>2</v>
      </c>
      <c r="E15" s="134" t="s">
        <v>61</v>
      </c>
      <c r="F15">
        <v>2</v>
      </c>
      <c r="G15" t="s">
        <v>66</v>
      </c>
      <c r="H15">
        <v>8</v>
      </c>
      <c r="I15" t="s">
        <v>67</v>
      </c>
      <c r="J15" t="s">
        <v>68</v>
      </c>
      <c r="L15">
        <v>8</v>
      </c>
      <c r="M15" t="s">
        <v>69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B16" t="s">
        <v>428</v>
      </c>
      <c r="D16" s="134">
        <v>3</v>
      </c>
      <c r="E16" s="134" t="s">
        <v>113</v>
      </c>
      <c r="F16">
        <v>6</v>
      </c>
      <c r="G16" t="s">
        <v>270</v>
      </c>
      <c r="H16">
        <v>11</v>
      </c>
      <c r="I16" t="s">
        <v>70</v>
      </c>
      <c r="J16" t="s">
        <v>71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72</v>
      </c>
      <c r="C17" t="s">
        <v>73</v>
      </c>
      <c r="D17" s="134">
        <v>3</v>
      </c>
      <c r="E17" s="134" t="s">
        <v>113</v>
      </c>
      <c r="F17">
        <v>5</v>
      </c>
      <c r="G17" t="s">
        <v>271</v>
      </c>
      <c r="H17">
        <v>5</v>
      </c>
      <c r="I17" t="s">
        <v>32</v>
      </c>
      <c r="J17" t="s">
        <v>75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 s="134">
        <v>3</v>
      </c>
      <c r="E18" s="134" t="s">
        <v>113</v>
      </c>
      <c r="F18">
        <v>3</v>
      </c>
      <c r="G18" t="s">
        <v>289</v>
      </c>
      <c r="H18">
        <v>8</v>
      </c>
      <c r="I18" t="s">
        <v>67</v>
      </c>
      <c r="J18" t="s">
        <v>76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 s="134">
        <v>3</v>
      </c>
      <c r="E19" s="134" t="s">
        <v>113</v>
      </c>
      <c r="F19">
        <v>5</v>
      </c>
      <c r="G19" t="s">
        <v>271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 s="134">
        <v>1</v>
      </c>
      <c r="E20" s="134" t="s">
        <v>19</v>
      </c>
      <c r="F20">
        <v>1</v>
      </c>
      <c r="G20" t="s">
        <v>77</v>
      </c>
      <c r="H20">
        <v>9</v>
      </c>
      <c r="I20" t="s">
        <v>78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79</v>
      </c>
      <c r="C21" t="s">
        <v>80</v>
      </c>
      <c r="D21" s="134">
        <v>1</v>
      </c>
      <c r="E21" s="134" t="s">
        <v>19</v>
      </c>
      <c r="F21">
        <v>2</v>
      </c>
      <c r="G21" t="s">
        <v>20</v>
      </c>
      <c r="H21">
        <v>7</v>
      </c>
      <c r="I21" t="s">
        <v>49</v>
      </c>
      <c r="J21" t="s">
        <v>81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 s="134">
        <v>2</v>
      </c>
      <c r="E22" s="134" t="s">
        <v>61</v>
      </c>
      <c r="F22">
        <v>1</v>
      </c>
      <c r="G22" t="s">
        <v>82</v>
      </c>
      <c r="H22">
        <v>8</v>
      </c>
      <c r="I22" t="s">
        <v>67</v>
      </c>
      <c r="J22" t="s">
        <v>83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B23" t="s">
        <v>428</v>
      </c>
      <c r="D23" s="134">
        <v>2</v>
      </c>
      <c r="E23" s="134" t="s">
        <v>61</v>
      </c>
      <c r="F23">
        <v>3</v>
      </c>
      <c r="G23" t="s">
        <v>84</v>
      </c>
      <c r="H23">
        <v>11</v>
      </c>
      <c r="I23" t="s">
        <v>70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 s="134">
        <v>2</v>
      </c>
      <c r="E24" s="134" t="s">
        <v>61</v>
      </c>
      <c r="F24">
        <v>4</v>
      </c>
      <c r="G24" t="s">
        <v>85</v>
      </c>
      <c r="H24">
        <v>5</v>
      </c>
      <c r="I24" t="s">
        <v>32</v>
      </c>
      <c r="J24" t="s">
        <v>86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 s="134">
        <v>2</v>
      </c>
      <c r="E25" s="134" t="s">
        <v>61</v>
      </c>
      <c r="F25">
        <v>6</v>
      </c>
      <c r="G25" t="s">
        <v>62</v>
      </c>
      <c r="H25">
        <v>9</v>
      </c>
      <c r="I25" t="s">
        <v>78</v>
      </c>
      <c r="L25">
        <v>8</v>
      </c>
      <c r="M25" t="s">
        <v>69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 s="134">
        <v>3</v>
      </c>
      <c r="E26" s="134" t="s">
        <v>113</v>
      </c>
      <c r="F26">
        <v>6</v>
      </c>
      <c r="G26" t="s">
        <v>270</v>
      </c>
      <c r="H26">
        <v>11</v>
      </c>
      <c r="I26" t="s">
        <v>70</v>
      </c>
      <c r="L26">
        <v>8</v>
      </c>
      <c r="M26" t="s">
        <v>69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B27" t="s">
        <v>430</v>
      </c>
      <c r="C27" t="s">
        <v>431</v>
      </c>
      <c r="D27" s="134">
        <v>3</v>
      </c>
      <c r="E27" s="134" t="s">
        <v>113</v>
      </c>
      <c r="F27">
        <v>3</v>
      </c>
      <c r="G27" t="s">
        <v>289</v>
      </c>
      <c r="H27">
        <v>3</v>
      </c>
      <c r="I27" t="s">
        <v>26</v>
      </c>
      <c r="J27" t="s">
        <v>87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 s="134">
        <v>1</v>
      </c>
      <c r="E28" s="134" t="s">
        <v>19</v>
      </c>
      <c r="F28">
        <v>5</v>
      </c>
      <c r="G28" t="s">
        <v>74</v>
      </c>
      <c r="H28">
        <v>1</v>
      </c>
      <c r="I28" t="s">
        <v>15</v>
      </c>
      <c r="J28" t="s">
        <v>88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61</v>
      </c>
      <c r="F29">
        <v>3</v>
      </c>
      <c r="G29" t="s">
        <v>84</v>
      </c>
      <c r="H29">
        <v>4</v>
      </c>
      <c r="I29" t="s">
        <v>36</v>
      </c>
      <c r="J29" t="s">
        <v>89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B30" t="s">
        <v>432</v>
      </c>
      <c r="C30" t="s">
        <v>433</v>
      </c>
      <c r="D30">
        <v>2</v>
      </c>
      <c r="E30" t="s">
        <v>61</v>
      </c>
      <c r="F30">
        <v>1</v>
      </c>
      <c r="G30" t="s">
        <v>82</v>
      </c>
      <c r="H30">
        <v>1</v>
      </c>
      <c r="I30" t="s">
        <v>15</v>
      </c>
      <c r="J30" t="s">
        <v>90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91</v>
      </c>
      <c r="C31" t="s">
        <v>92</v>
      </c>
      <c r="D31">
        <v>2</v>
      </c>
      <c r="E31" t="s">
        <v>61</v>
      </c>
      <c r="F31">
        <v>3</v>
      </c>
      <c r="G31" t="s">
        <v>84</v>
      </c>
      <c r="H31">
        <v>2</v>
      </c>
      <c r="I31" t="s">
        <v>21</v>
      </c>
      <c r="J31" t="s">
        <v>93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B32" t="s">
        <v>434</v>
      </c>
      <c r="C32" t="s">
        <v>435</v>
      </c>
      <c r="D32">
        <v>2</v>
      </c>
      <c r="E32" t="s">
        <v>61</v>
      </c>
      <c r="F32">
        <v>1</v>
      </c>
      <c r="G32" t="s">
        <v>82</v>
      </c>
      <c r="H32">
        <v>10</v>
      </c>
      <c r="I32" t="s">
        <v>63</v>
      </c>
      <c r="L32">
        <v>8</v>
      </c>
      <c r="M32" t="s">
        <v>69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94</v>
      </c>
      <c r="C33" t="s">
        <v>95</v>
      </c>
      <c r="D33">
        <v>3</v>
      </c>
      <c r="E33" t="s">
        <v>113</v>
      </c>
      <c r="F33">
        <v>1</v>
      </c>
      <c r="G33" t="s">
        <v>216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3</v>
      </c>
      <c r="E34" t="s">
        <v>113</v>
      </c>
      <c r="F34">
        <v>5</v>
      </c>
      <c r="G34" t="s">
        <v>271</v>
      </c>
      <c r="H34">
        <v>4</v>
      </c>
      <c r="I34" t="s">
        <v>36</v>
      </c>
      <c r="J34" t="s">
        <v>96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B35" t="s">
        <v>428</v>
      </c>
      <c r="D35">
        <v>4</v>
      </c>
      <c r="E35" t="s">
        <v>13</v>
      </c>
      <c r="F35">
        <v>6</v>
      </c>
      <c r="G35" t="s">
        <v>245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61</v>
      </c>
      <c r="F36">
        <v>3</v>
      </c>
      <c r="G36" t="s">
        <v>84</v>
      </c>
      <c r="H36">
        <v>11</v>
      </c>
      <c r="I36" t="s">
        <v>70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61</v>
      </c>
      <c r="F37">
        <v>1</v>
      </c>
      <c r="G37" t="s">
        <v>82</v>
      </c>
      <c r="H37">
        <v>6</v>
      </c>
      <c r="I37" t="s">
        <v>97</v>
      </c>
      <c r="J37" t="s">
        <v>98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61</v>
      </c>
      <c r="F38">
        <v>4</v>
      </c>
      <c r="G38" t="s">
        <v>85</v>
      </c>
      <c r="H38">
        <v>4</v>
      </c>
      <c r="I38" t="s">
        <v>36</v>
      </c>
      <c r="J38" t="s">
        <v>99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B39" t="s">
        <v>428</v>
      </c>
      <c r="D39">
        <v>2</v>
      </c>
      <c r="E39" t="s">
        <v>61</v>
      </c>
      <c r="F39">
        <v>5</v>
      </c>
      <c r="G39" t="s">
        <v>100</v>
      </c>
      <c r="H39">
        <v>11</v>
      </c>
      <c r="I39" t="s">
        <v>70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3</v>
      </c>
      <c r="E40" t="s">
        <v>113</v>
      </c>
      <c r="F40">
        <v>2</v>
      </c>
      <c r="G40" t="s">
        <v>282</v>
      </c>
      <c r="H40">
        <v>8</v>
      </c>
      <c r="I40" t="s">
        <v>67</v>
      </c>
      <c r="J40" t="s">
        <v>101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102</v>
      </c>
      <c r="C41" t="s">
        <v>103</v>
      </c>
      <c r="D41">
        <v>2</v>
      </c>
      <c r="E41" t="s">
        <v>61</v>
      </c>
      <c r="F41">
        <v>6</v>
      </c>
      <c r="G41" t="s">
        <v>62</v>
      </c>
      <c r="H41">
        <v>12</v>
      </c>
      <c r="I41">
        <v>0</v>
      </c>
      <c r="J41" t="s">
        <v>104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61</v>
      </c>
      <c r="F42">
        <v>4</v>
      </c>
      <c r="G42" t="s">
        <v>85</v>
      </c>
      <c r="H42">
        <v>9</v>
      </c>
      <c r="I42" t="s">
        <v>78</v>
      </c>
      <c r="L42">
        <v>8</v>
      </c>
      <c r="M42" t="s">
        <v>69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61</v>
      </c>
      <c r="F43">
        <v>2</v>
      </c>
      <c r="G43" t="s">
        <v>66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H98"/>
  <sheetViews>
    <sheetView workbookViewId="0">
      <selection activeCell="B21" sqref="B21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119</v>
      </c>
      <c r="B2" s="10" t="s">
        <v>139</v>
      </c>
      <c r="C2" s="11" t="s">
        <v>138</v>
      </c>
      <c r="D2" s="12">
        <v>150</v>
      </c>
    </row>
    <row r="3" spans="1:6" x14ac:dyDescent="0.3">
      <c r="A3" s="10" t="s">
        <v>119</v>
      </c>
      <c r="B3" s="10" t="s">
        <v>120</v>
      </c>
      <c r="C3" s="11" t="s">
        <v>138</v>
      </c>
      <c r="D3" s="13">
        <v>0.02</v>
      </c>
    </row>
    <row r="4" spans="1:6" x14ac:dyDescent="0.3">
      <c r="A4" s="10" t="s">
        <v>121</v>
      </c>
      <c r="B4" s="10" t="s">
        <v>122</v>
      </c>
      <c r="C4" s="11"/>
      <c r="D4" s="12">
        <v>30</v>
      </c>
    </row>
    <row r="7" spans="1:6" x14ac:dyDescent="0.3">
      <c r="A7" t="s">
        <v>114</v>
      </c>
    </row>
    <row r="8" spans="1:6" x14ac:dyDescent="0.3">
      <c r="A8" s="1" t="s">
        <v>11</v>
      </c>
      <c r="B8" s="20" t="s">
        <v>2</v>
      </c>
      <c r="C8" s="3" t="s">
        <v>112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61</v>
      </c>
      <c r="C10" s="5">
        <v>0.7</v>
      </c>
    </row>
    <row r="11" spans="1:6" x14ac:dyDescent="0.3">
      <c r="A11" s="1">
        <v>3</v>
      </c>
      <c r="B11" s="4" t="s">
        <v>113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116</v>
      </c>
      <c r="D16" s="18" t="s">
        <v>135</v>
      </c>
      <c r="E16" s="6" t="s">
        <v>117</v>
      </c>
      <c r="F16" s="6" t="s">
        <v>153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69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125</v>
      </c>
      <c r="B27" s="20" t="s">
        <v>134</v>
      </c>
      <c r="C27" s="17" t="s">
        <v>115</v>
      </c>
      <c r="D27" s="18" t="s">
        <v>135</v>
      </c>
      <c r="F27" s="16" t="s">
        <v>130</v>
      </c>
      <c r="G27" s="16" t="s">
        <v>125</v>
      </c>
      <c r="H27" s="11" t="s">
        <v>131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132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132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132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132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132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132</v>
      </c>
    </row>
    <row r="34" spans="1:8" x14ac:dyDescent="0.3">
      <c r="A34" s="1">
        <v>0</v>
      </c>
      <c r="B34" s="4" t="s">
        <v>132</v>
      </c>
      <c r="C34" s="19">
        <v>-1</v>
      </c>
      <c r="D34" s="21">
        <v>-0.05</v>
      </c>
      <c r="F34" s="16">
        <v>6</v>
      </c>
      <c r="G34" s="16">
        <v>0</v>
      </c>
      <c r="H34" s="4" t="s">
        <v>132</v>
      </c>
    </row>
    <row r="35" spans="1:8" x14ac:dyDescent="0.3">
      <c r="F35" s="16">
        <v>7</v>
      </c>
      <c r="G35" s="16">
        <v>0</v>
      </c>
      <c r="H35" s="4" t="s">
        <v>132</v>
      </c>
    </row>
    <row r="36" spans="1:8" x14ac:dyDescent="0.3">
      <c r="F36" s="16">
        <v>8</v>
      </c>
      <c r="G36" s="16">
        <v>0</v>
      </c>
      <c r="H36" s="4" t="s">
        <v>132</v>
      </c>
    </row>
    <row r="37" spans="1:8" x14ac:dyDescent="0.3">
      <c r="A37" s="1" t="s">
        <v>11</v>
      </c>
      <c r="B37" s="20" t="s">
        <v>136</v>
      </c>
      <c r="C37" s="2" t="s">
        <v>137</v>
      </c>
      <c r="D37" s="18" t="s">
        <v>135</v>
      </c>
      <c r="F37" s="16">
        <v>9</v>
      </c>
      <c r="G37" s="16">
        <v>0</v>
      </c>
      <c r="H37" s="4" t="s">
        <v>132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97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67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78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63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70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135</v>
      </c>
      <c r="D52" s="2" t="s">
        <v>153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146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145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145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144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144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142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143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143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147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147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148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148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148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150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150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150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150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150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151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151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151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151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152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152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152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152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152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152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152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152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152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152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180</v>
      </c>
      <c r="C86" s="2" t="s">
        <v>181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44"/>
  <sheetViews>
    <sheetView workbookViewId="0">
      <selection activeCell="B21" sqref="B21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186</v>
      </c>
      <c r="C2" s="32" t="s">
        <v>187</v>
      </c>
      <c r="D2" s="32" t="s">
        <v>188</v>
      </c>
      <c r="E2" s="32" t="s">
        <v>189</v>
      </c>
      <c r="F2" s="32" t="s">
        <v>190</v>
      </c>
    </row>
    <row r="3" spans="1:6" ht="17.25" thickTop="1" x14ac:dyDescent="0.3">
      <c r="A3" s="33" t="s">
        <v>191</v>
      </c>
      <c r="B3" s="34" t="s">
        <v>77</v>
      </c>
      <c r="C3" s="35" t="s">
        <v>192</v>
      </c>
      <c r="D3" s="35" t="s">
        <v>193</v>
      </c>
      <c r="E3" s="36">
        <v>6</v>
      </c>
      <c r="F3" s="37">
        <v>5</v>
      </c>
    </row>
    <row r="4" spans="1:6" x14ac:dyDescent="0.3">
      <c r="A4" s="38" t="s">
        <v>194</v>
      </c>
      <c r="B4" s="11" t="s">
        <v>20</v>
      </c>
      <c r="C4" s="10" t="s">
        <v>195</v>
      </c>
      <c r="D4" s="10" t="s">
        <v>193</v>
      </c>
      <c r="E4" s="39">
        <v>5</v>
      </c>
      <c r="F4" s="40">
        <v>5</v>
      </c>
    </row>
    <row r="5" spans="1:6" x14ac:dyDescent="0.3">
      <c r="A5" s="38" t="s">
        <v>196</v>
      </c>
      <c r="B5" s="11" t="s">
        <v>53</v>
      </c>
      <c r="C5" s="10" t="s">
        <v>197</v>
      </c>
      <c r="D5" s="10" t="s">
        <v>193</v>
      </c>
      <c r="E5" s="39">
        <v>4</v>
      </c>
      <c r="F5" s="40">
        <v>5</v>
      </c>
    </row>
    <row r="6" spans="1:6" x14ac:dyDescent="0.3">
      <c r="A6" s="38" t="s">
        <v>198</v>
      </c>
      <c r="B6" s="11" t="s">
        <v>48</v>
      </c>
      <c r="C6" s="10" t="s">
        <v>199</v>
      </c>
      <c r="D6" s="10" t="s">
        <v>193</v>
      </c>
      <c r="E6" s="39">
        <v>3</v>
      </c>
      <c r="F6" s="40">
        <v>5</v>
      </c>
    </row>
    <row r="7" spans="1:6" x14ac:dyDescent="0.3">
      <c r="A7" s="38" t="s">
        <v>200</v>
      </c>
      <c r="B7" s="11" t="s">
        <v>74</v>
      </c>
      <c r="C7" s="10" t="s">
        <v>201</v>
      </c>
      <c r="D7" s="10" t="s">
        <v>193</v>
      </c>
      <c r="E7" s="39">
        <v>2</v>
      </c>
      <c r="F7" s="40">
        <v>5</v>
      </c>
    </row>
    <row r="8" spans="1:6" ht="17.25" thickBot="1" x14ac:dyDescent="0.35">
      <c r="A8" s="41" t="s">
        <v>202</v>
      </c>
      <c r="B8" s="42" t="s">
        <v>243</v>
      </c>
      <c r="C8" s="43" t="s">
        <v>365</v>
      </c>
      <c r="D8" s="43" t="s">
        <v>193</v>
      </c>
      <c r="E8" s="44">
        <v>1</v>
      </c>
      <c r="F8" s="45">
        <v>1</v>
      </c>
    </row>
    <row r="9" spans="1:6" ht="17.25" thickTop="1" x14ac:dyDescent="0.3">
      <c r="A9" s="33" t="s">
        <v>204</v>
      </c>
      <c r="B9" s="34" t="s">
        <v>247</v>
      </c>
      <c r="C9" s="35" t="s">
        <v>205</v>
      </c>
      <c r="D9" s="46" t="s">
        <v>193</v>
      </c>
      <c r="E9" s="36">
        <v>6</v>
      </c>
      <c r="F9" s="37">
        <v>5</v>
      </c>
    </row>
    <row r="10" spans="1:6" x14ac:dyDescent="0.3">
      <c r="A10" s="38" t="s">
        <v>206</v>
      </c>
      <c r="B10" s="11" t="s">
        <v>248</v>
      </c>
      <c r="C10" s="10" t="s">
        <v>268</v>
      </c>
      <c r="D10" s="10" t="s">
        <v>193</v>
      </c>
      <c r="E10" s="39">
        <v>5</v>
      </c>
      <c r="F10" s="40">
        <v>5</v>
      </c>
    </row>
    <row r="11" spans="1:6" x14ac:dyDescent="0.3">
      <c r="A11" s="38" t="s">
        <v>207</v>
      </c>
      <c r="B11" s="11" t="s">
        <v>250</v>
      </c>
      <c r="C11" s="10" t="s">
        <v>208</v>
      </c>
      <c r="D11" s="10" t="s">
        <v>193</v>
      </c>
      <c r="E11" s="39">
        <v>3</v>
      </c>
      <c r="F11" s="40">
        <v>2</v>
      </c>
    </row>
    <row r="12" spans="1:6" x14ac:dyDescent="0.3">
      <c r="A12" s="38" t="s">
        <v>209</v>
      </c>
      <c r="B12" s="11" t="s">
        <v>249</v>
      </c>
      <c r="C12" s="10" t="s">
        <v>210</v>
      </c>
      <c r="D12" s="10" t="s">
        <v>193</v>
      </c>
      <c r="E12" s="39">
        <v>3</v>
      </c>
      <c r="F12" s="40">
        <v>4</v>
      </c>
    </row>
    <row r="13" spans="1:6" x14ac:dyDescent="0.3">
      <c r="A13" s="38" t="s">
        <v>211</v>
      </c>
      <c r="B13" s="11" t="s">
        <v>251</v>
      </c>
      <c r="C13" s="10" t="s">
        <v>253</v>
      </c>
      <c r="D13" s="10" t="s">
        <v>193</v>
      </c>
      <c r="E13" s="39">
        <v>3</v>
      </c>
      <c r="F13" s="40">
        <v>3</v>
      </c>
    </row>
    <row r="14" spans="1:6" ht="17.25" thickBot="1" x14ac:dyDescent="0.35">
      <c r="A14" s="41" t="s">
        <v>213</v>
      </c>
      <c r="B14" s="42" t="s">
        <v>244</v>
      </c>
      <c r="C14" s="43" t="s">
        <v>365</v>
      </c>
      <c r="D14" s="10" t="s">
        <v>193</v>
      </c>
      <c r="E14" s="44">
        <v>1</v>
      </c>
      <c r="F14" s="45">
        <v>1</v>
      </c>
    </row>
    <row r="15" spans="1:6" ht="17.25" thickTop="1" x14ac:dyDescent="0.3">
      <c r="A15" s="33" t="s">
        <v>215</v>
      </c>
      <c r="B15" s="34" t="s">
        <v>216</v>
      </c>
      <c r="C15" s="35" t="s">
        <v>217</v>
      </c>
      <c r="D15" s="35" t="s">
        <v>193</v>
      </c>
      <c r="E15" s="36">
        <v>6</v>
      </c>
      <c r="F15" s="37">
        <v>5</v>
      </c>
    </row>
    <row r="16" spans="1:6" x14ac:dyDescent="0.3">
      <c r="A16" s="38" t="s">
        <v>218</v>
      </c>
      <c r="B16" s="11" t="s">
        <v>282</v>
      </c>
      <c r="C16" s="10" t="s">
        <v>219</v>
      </c>
      <c r="D16" s="10" t="s">
        <v>193</v>
      </c>
      <c r="E16" s="39">
        <v>5</v>
      </c>
      <c r="F16" s="40">
        <v>5</v>
      </c>
    </row>
    <row r="17" spans="1:6" x14ac:dyDescent="0.3">
      <c r="A17" s="38" t="s">
        <v>220</v>
      </c>
      <c r="B17" s="11" t="s">
        <v>289</v>
      </c>
      <c r="C17" s="10" t="s">
        <v>221</v>
      </c>
      <c r="D17" s="10" t="s">
        <v>222</v>
      </c>
      <c r="E17" s="39">
        <v>6</v>
      </c>
      <c r="F17" s="40">
        <v>5</v>
      </c>
    </row>
    <row r="18" spans="1:6" x14ac:dyDescent="0.3">
      <c r="A18" s="38" t="s">
        <v>223</v>
      </c>
      <c r="B18" s="11" t="s">
        <v>246</v>
      </c>
      <c r="C18" s="10" t="s">
        <v>319</v>
      </c>
      <c r="D18" s="10" t="s">
        <v>193</v>
      </c>
      <c r="E18" s="39">
        <v>4</v>
      </c>
      <c r="F18" s="40">
        <v>3</v>
      </c>
    </row>
    <row r="19" spans="1:6" x14ac:dyDescent="0.3">
      <c r="A19" s="38" t="s">
        <v>225</v>
      </c>
      <c r="B19" s="11" t="s">
        <v>271</v>
      </c>
      <c r="C19" s="10" t="s">
        <v>212</v>
      </c>
      <c r="D19" s="10" t="s">
        <v>193</v>
      </c>
      <c r="E19" s="39">
        <v>2</v>
      </c>
      <c r="F19" s="40">
        <v>2</v>
      </c>
    </row>
    <row r="20" spans="1:6" x14ac:dyDescent="0.3">
      <c r="A20" s="38" t="s">
        <v>227</v>
      </c>
      <c r="B20" s="11" t="s">
        <v>270</v>
      </c>
      <c r="C20" s="10" t="s">
        <v>269</v>
      </c>
      <c r="D20" s="10" t="s">
        <v>222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283</v>
      </c>
      <c r="C21" s="43" t="s">
        <v>252</v>
      </c>
      <c r="D21" s="10" t="s">
        <v>222</v>
      </c>
      <c r="E21" s="44"/>
      <c r="F21" s="45"/>
    </row>
    <row r="22" spans="1:6" ht="17.25" thickTop="1" x14ac:dyDescent="0.3">
      <c r="A22" s="33" t="s">
        <v>229</v>
      </c>
      <c r="B22" s="34" t="s">
        <v>230</v>
      </c>
      <c r="C22" s="35" t="s">
        <v>231</v>
      </c>
      <c r="D22" s="35" t="s">
        <v>222</v>
      </c>
      <c r="E22" s="36">
        <v>6</v>
      </c>
      <c r="F22" s="37">
        <v>5</v>
      </c>
    </row>
    <row r="23" spans="1:6" x14ac:dyDescent="0.3">
      <c r="A23" s="38" t="s">
        <v>232</v>
      </c>
      <c r="B23" s="11" t="s">
        <v>14</v>
      </c>
      <c r="C23" s="10" t="s">
        <v>268</v>
      </c>
      <c r="D23" s="10" t="s">
        <v>193</v>
      </c>
      <c r="E23" s="39">
        <v>4</v>
      </c>
      <c r="F23" s="40">
        <v>3</v>
      </c>
    </row>
    <row r="24" spans="1:6" x14ac:dyDescent="0.3">
      <c r="A24" s="38" t="s">
        <v>233</v>
      </c>
      <c r="B24" s="11" t="s">
        <v>35</v>
      </c>
      <c r="C24" s="10" t="s">
        <v>228</v>
      </c>
      <c r="D24" s="10" t="s">
        <v>193</v>
      </c>
      <c r="E24" s="39">
        <v>3</v>
      </c>
      <c r="F24" s="40">
        <v>1</v>
      </c>
    </row>
    <row r="25" spans="1:6" x14ac:dyDescent="0.3">
      <c r="A25" s="38" t="s">
        <v>234</v>
      </c>
      <c r="B25" s="11" t="s">
        <v>40</v>
      </c>
      <c r="C25" s="10" t="s">
        <v>235</v>
      </c>
      <c r="D25" s="10" t="s">
        <v>193</v>
      </c>
      <c r="E25" s="39">
        <v>50</v>
      </c>
      <c r="F25" s="40">
        <v>2</v>
      </c>
    </row>
    <row r="26" spans="1:6" x14ac:dyDescent="0.3">
      <c r="A26" s="38" t="s">
        <v>236</v>
      </c>
      <c r="B26" s="11" t="s">
        <v>31</v>
      </c>
      <c r="C26" s="10" t="s">
        <v>228</v>
      </c>
      <c r="D26" s="10" t="s">
        <v>193</v>
      </c>
      <c r="E26" s="39">
        <v>5</v>
      </c>
      <c r="F26" s="40">
        <v>1</v>
      </c>
    </row>
    <row r="27" spans="1:6" ht="17.25" thickBot="1" x14ac:dyDescent="0.35">
      <c r="A27" s="41" t="s">
        <v>237</v>
      </c>
      <c r="B27" s="42" t="s">
        <v>245</v>
      </c>
      <c r="C27" s="43" t="s">
        <v>365</v>
      </c>
      <c r="D27" s="43" t="s">
        <v>193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499984740745262"/>
  </sheetPr>
  <dimension ref="A1:K16"/>
  <sheetViews>
    <sheetView workbookViewId="0">
      <selection activeCell="C13" sqref="C13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55" t="s">
        <v>318</v>
      </c>
      <c r="H1" s="256"/>
      <c r="I1" s="256"/>
      <c r="J1" s="256"/>
      <c r="K1" s="257"/>
    </row>
    <row r="2" spans="1:11" x14ac:dyDescent="0.3">
      <c r="A2" s="3" t="s">
        <v>241</v>
      </c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255" t="s">
        <v>320</v>
      </c>
      <c r="H2" s="257"/>
      <c r="I2" s="255" t="s">
        <v>321</v>
      </c>
      <c r="J2" s="257"/>
      <c r="K2" s="50" t="s">
        <v>235</v>
      </c>
    </row>
    <row r="3" spans="1:11" x14ac:dyDescent="0.3">
      <c r="A3" s="51">
        <v>1</v>
      </c>
      <c r="B3" s="47" t="s">
        <v>304</v>
      </c>
      <c r="C3" s="48" t="s">
        <v>303</v>
      </c>
      <c r="D3" s="48" t="s">
        <v>272</v>
      </c>
      <c r="E3" s="51">
        <v>1</v>
      </c>
      <c r="F3" s="51">
        <v>1</v>
      </c>
      <c r="G3" s="51">
        <v>2</v>
      </c>
      <c r="H3" s="49" t="s">
        <v>208</v>
      </c>
      <c r="I3" s="51">
        <v>1</v>
      </c>
      <c r="J3" s="49" t="s">
        <v>205</v>
      </c>
      <c r="K3" s="51">
        <v>25</v>
      </c>
    </row>
    <row r="4" spans="1:11" x14ac:dyDescent="0.3">
      <c r="A4" s="51">
        <v>2</v>
      </c>
      <c r="B4" s="47" t="s">
        <v>280</v>
      </c>
      <c r="C4" s="48" t="s">
        <v>284</v>
      </c>
      <c r="D4" s="48" t="s">
        <v>222</v>
      </c>
      <c r="E4" s="51">
        <v>5</v>
      </c>
      <c r="F4" s="51">
        <v>1</v>
      </c>
      <c r="G4" s="51">
        <v>2</v>
      </c>
      <c r="H4" s="49" t="s">
        <v>221</v>
      </c>
      <c r="I4" s="51">
        <v>1</v>
      </c>
      <c r="J4" s="49" t="s">
        <v>268</v>
      </c>
      <c r="K4" s="51">
        <v>5</v>
      </c>
    </row>
    <row r="5" spans="1:11" x14ac:dyDescent="0.3">
      <c r="A5" s="51">
        <v>3</v>
      </c>
      <c r="B5" s="47" t="s">
        <v>294</v>
      </c>
      <c r="C5" s="48" t="s">
        <v>295</v>
      </c>
      <c r="D5" s="48" t="s">
        <v>272</v>
      </c>
      <c r="E5" s="51">
        <v>1</v>
      </c>
      <c r="F5" s="51">
        <v>1</v>
      </c>
      <c r="G5" s="51">
        <v>1</v>
      </c>
      <c r="H5" s="49" t="s">
        <v>268</v>
      </c>
      <c r="I5" s="51">
        <v>1</v>
      </c>
      <c r="J5" s="49" t="s">
        <v>195</v>
      </c>
      <c r="K5" s="51">
        <v>5</v>
      </c>
    </row>
    <row r="6" spans="1:11" x14ac:dyDescent="0.3">
      <c r="A6" s="51">
        <v>4</v>
      </c>
      <c r="B6" s="47" t="s">
        <v>281</v>
      </c>
      <c r="C6" s="48" t="s">
        <v>224</v>
      </c>
      <c r="D6" s="48" t="s">
        <v>222</v>
      </c>
      <c r="E6" s="51">
        <v>3</v>
      </c>
      <c r="F6" s="51">
        <v>1</v>
      </c>
      <c r="G6" s="51">
        <v>1</v>
      </c>
      <c r="H6" s="49" t="s">
        <v>319</v>
      </c>
      <c r="I6" s="51">
        <v>1</v>
      </c>
      <c r="J6" s="49" t="s">
        <v>221</v>
      </c>
      <c r="K6" s="51">
        <v>10</v>
      </c>
    </row>
    <row r="7" spans="1:11" x14ac:dyDescent="0.3">
      <c r="A7" s="51">
        <v>5</v>
      </c>
      <c r="B7" s="47" t="s">
        <v>297</v>
      </c>
      <c r="C7" s="48" t="s">
        <v>298</v>
      </c>
      <c r="D7" s="48" t="s">
        <v>272</v>
      </c>
      <c r="E7" s="51">
        <v>1</v>
      </c>
      <c r="F7" s="51">
        <v>1</v>
      </c>
      <c r="G7" s="51">
        <v>2</v>
      </c>
      <c r="H7" s="49" t="s">
        <v>268</v>
      </c>
      <c r="I7" s="51">
        <v>1</v>
      </c>
      <c r="J7" s="49" t="s">
        <v>275</v>
      </c>
      <c r="K7" s="51">
        <v>20</v>
      </c>
    </row>
    <row r="8" spans="1:11" x14ac:dyDescent="0.3">
      <c r="A8" s="51">
        <v>6</v>
      </c>
      <c r="B8" s="47" t="s">
        <v>309</v>
      </c>
      <c r="C8" s="48" t="s">
        <v>310</v>
      </c>
      <c r="D8" s="48" t="s">
        <v>272</v>
      </c>
      <c r="E8" s="51">
        <v>1</v>
      </c>
      <c r="F8" s="51">
        <v>1</v>
      </c>
      <c r="G8" s="51">
        <v>2</v>
      </c>
      <c r="H8" s="49" t="s">
        <v>253</v>
      </c>
      <c r="I8" s="51">
        <v>1</v>
      </c>
      <c r="J8" s="49" t="s">
        <v>275</v>
      </c>
      <c r="K8" s="51">
        <v>15</v>
      </c>
    </row>
    <row r="9" spans="1:11" x14ac:dyDescent="0.3">
      <c r="A9" s="51">
        <v>7</v>
      </c>
      <c r="B9" s="47" t="s">
        <v>312</v>
      </c>
      <c r="C9" s="48" t="s">
        <v>313</v>
      </c>
      <c r="D9" s="48" t="s">
        <v>272</v>
      </c>
      <c r="E9" s="51">
        <v>1</v>
      </c>
      <c r="F9" s="51">
        <v>1</v>
      </c>
      <c r="G9" s="51">
        <v>2</v>
      </c>
      <c r="H9" s="49" t="s">
        <v>199</v>
      </c>
      <c r="I9" s="51">
        <v>1</v>
      </c>
      <c r="J9" s="49" t="s">
        <v>201</v>
      </c>
      <c r="K9" s="51">
        <v>15</v>
      </c>
    </row>
    <row r="10" spans="1:11" x14ac:dyDescent="0.3">
      <c r="A10" s="51">
        <v>8</v>
      </c>
      <c r="B10" s="47" t="s">
        <v>278</v>
      </c>
      <c r="C10" s="48" t="s">
        <v>279</v>
      </c>
      <c r="D10" s="48" t="s">
        <v>272</v>
      </c>
      <c r="E10" s="51">
        <v>10</v>
      </c>
      <c r="F10" s="51">
        <v>1</v>
      </c>
      <c r="G10" s="51">
        <v>2</v>
      </c>
      <c r="H10" s="49" t="s">
        <v>221</v>
      </c>
      <c r="I10" s="51">
        <v>1</v>
      </c>
      <c r="J10" s="49" t="s">
        <v>275</v>
      </c>
      <c r="K10" s="51">
        <v>10</v>
      </c>
    </row>
    <row r="11" spans="1:11" x14ac:dyDescent="0.3">
      <c r="A11" s="51">
        <v>9</v>
      </c>
      <c r="B11" s="47" t="s">
        <v>276</v>
      </c>
      <c r="C11" s="48" t="s">
        <v>277</v>
      </c>
      <c r="D11" s="48" t="s">
        <v>272</v>
      </c>
      <c r="E11" s="51">
        <v>1</v>
      </c>
      <c r="F11" s="51">
        <v>1</v>
      </c>
      <c r="G11" s="51">
        <v>2</v>
      </c>
      <c r="H11" s="49" t="s">
        <v>195</v>
      </c>
      <c r="I11" s="51">
        <v>1</v>
      </c>
      <c r="J11" s="49" t="s">
        <v>275</v>
      </c>
      <c r="K11" s="51">
        <v>20</v>
      </c>
    </row>
    <row r="12" spans="1:11" x14ac:dyDescent="0.3">
      <c r="A12" s="51">
        <v>10</v>
      </c>
      <c r="B12" s="47" t="s">
        <v>273</v>
      </c>
      <c r="C12" s="48" t="s">
        <v>275</v>
      </c>
      <c r="D12" s="48" t="s">
        <v>272</v>
      </c>
      <c r="E12" s="51">
        <v>2</v>
      </c>
      <c r="F12" s="51">
        <v>1</v>
      </c>
      <c r="G12" s="51">
        <v>1</v>
      </c>
      <c r="H12" s="49" t="s">
        <v>195</v>
      </c>
      <c r="I12" s="51">
        <v>1</v>
      </c>
      <c r="J12" s="49" t="s">
        <v>205</v>
      </c>
      <c r="K12" s="51">
        <v>10</v>
      </c>
    </row>
    <row r="13" spans="1:11" x14ac:dyDescent="0.3">
      <c r="A13" s="51">
        <v>11</v>
      </c>
      <c r="B13" s="47" t="s">
        <v>302</v>
      </c>
      <c r="C13" s="48" t="s">
        <v>226</v>
      </c>
      <c r="D13" s="48" t="s">
        <v>272</v>
      </c>
      <c r="E13" s="51">
        <v>1</v>
      </c>
      <c r="F13" s="51">
        <v>1</v>
      </c>
      <c r="G13" s="51">
        <v>2</v>
      </c>
      <c r="H13" s="49" t="s">
        <v>221</v>
      </c>
      <c r="I13" s="51">
        <v>1</v>
      </c>
      <c r="J13" s="49" t="s">
        <v>268</v>
      </c>
      <c r="K13" s="51">
        <v>5</v>
      </c>
    </row>
    <row r="14" spans="1:11" x14ac:dyDescent="0.3">
      <c r="A14" s="51">
        <v>12</v>
      </c>
      <c r="B14" s="47" t="s">
        <v>274</v>
      </c>
      <c r="C14" s="48" t="s">
        <v>296</v>
      </c>
      <c r="D14" s="48" t="s">
        <v>272</v>
      </c>
      <c r="E14" s="51">
        <v>1</v>
      </c>
      <c r="F14" s="51">
        <v>1</v>
      </c>
      <c r="G14" s="51">
        <v>2</v>
      </c>
      <c r="H14" s="49" t="s">
        <v>195</v>
      </c>
      <c r="I14" s="51">
        <v>1</v>
      </c>
      <c r="J14" s="49" t="s">
        <v>205</v>
      </c>
      <c r="K14" s="51">
        <v>15</v>
      </c>
    </row>
    <row r="15" spans="1:11" x14ac:dyDescent="0.3">
      <c r="A15" s="51">
        <v>13</v>
      </c>
      <c r="B15" s="47" t="s">
        <v>307</v>
      </c>
      <c r="C15" s="48" t="s">
        <v>308</v>
      </c>
      <c r="D15" s="48" t="s">
        <v>272</v>
      </c>
      <c r="E15" s="51">
        <v>3</v>
      </c>
      <c r="F15" s="51">
        <v>1</v>
      </c>
      <c r="G15" s="51">
        <v>2</v>
      </c>
      <c r="H15" s="49" t="s">
        <v>219</v>
      </c>
      <c r="I15" s="51">
        <v>1</v>
      </c>
      <c r="J15" s="49" t="s">
        <v>253</v>
      </c>
      <c r="K15" s="51">
        <v>10</v>
      </c>
    </row>
    <row r="16" spans="1:11" x14ac:dyDescent="0.3">
      <c r="A16" s="51">
        <v>14</v>
      </c>
      <c r="B16" s="47" t="s">
        <v>362</v>
      </c>
      <c r="C16" s="48" t="s">
        <v>361</v>
      </c>
      <c r="D16" s="48" t="s">
        <v>272</v>
      </c>
      <c r="E16" s="51">
        <v>2</v>
      </c>
      <c r="F16" s="51">
        <v>1</v>
      </c>
      <c r="G16" s="51">
        <v>3</v>
      </c>
      <c r="H16" s="49" t="s">
        <v>268</v>
      </c>
      <c r="I16" s="51">
        <v>1</v>
      </c>
      <c r="J16" s="49" t="s">
        <v>253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499984740745262"/>
  </sheetPr>
  <dimension ref="A1:M39"/>
  <sheetViews>
    <sheetView workbookViewId="0">
      <selection activeCell="E27" sqref="E27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59" t="s">
        <v>318</v>
      </c>
      <c r="J1" s="259"/>
      <c r="K1" s="259"/>
      <c r="L1" s="259"/>
      <c r="M1" s="259"/>
    </row>
    <row r="2" spans="1:13" x14ac:dyDescent="0.3">
      <c r="A2" s="3" t="s">
        <v>241</v>
      </c>
      <c r="B2" s="3" t="s">
        <v>188</v>
      </c>
      <c r="C2" s="3" t="s">
        <v>337</v>
      </c>
      <c r="D2" s="3" t="s">
        <v>338</v>
      </c>
      <c r="E2" s="3" t="s">
        <v>353</v>
      </c>
      <c r="F2" s="3" t="s">
        <v>355</v>
      </c>
      <c r="G2" s="3" t="s">
        <v>356</v>
      </c>
      <c r="H2" s="3"/>
      <c r="I2" s="258" t="s">
        <v>320</v>
      </c>
      <c r="J2" s="258"/>
      <c r="K2" s="258" t="s">
        <v>321</v>
      </c>
      <c r="L2" s="258"/>
      <c r="M2" s="50" t="s">
        <v>235</v>
      </c>
    </row>
    <row r="3" spans="1:13" x14ac:dyDescent="0.3">
      <c r="A3" s="51">
        <v>1</v>
      </c>
      <c r="B3" s="51" t="s">
        <v>373</v>
      </c>
      <c r="C3" s="49" t="s">
        <v>384</v>
      </c>
      <c r="D3" s="49" t="s">
        <v>221</v>
      </c>
      <c r="E3" s="49">
        <v>2</v>
      </c>
      <c r="F3" s="49"/>
      <c r="G3" s="49"/>
      <c r="H3" s="48" t="s">
        <v>369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358</v>
      </c>
      <c r="C4" s="49" t="s">
        <v>317</v>
      </c>
      <c r="D4" s="49" t="s">
        <v>358</v>
      </c>
      <c r="E4" s="49">
        <v>2</v>
      </c>
      <c r="F4" s="49"/>
      <c r="G4" s="49"/>
      <c r="H4" s="48" t="s">
        <v>369</v>
      </c>
      <c r="I4" s="51" t="s">
        <v>268</v>
      </c>
      <c r="J4" s="51">
        <v>3</v>
      </c>
      <c r="K4" s="51" t="s">
        <v>308</v>
      </c>
      <c r="L4" s="49">
        <v>1</v>
      </c>
      <c r="M4" s="49">
        <v>20</v>
      </c>
    </row>
    <row r="5" spans="1:13" x14ac:dyDescent="0.3">
      <c r="A5" s="51">
        <v>3</v>
      </c>
      <c r="B5" s="51" t="s">
        <v>373</v>
      </c>
      <c r="C5" s="49" t="s">
        <v>314</v>
      </c>
      <c r="D5" s="49" t="s">
        <v>235</v>
      </c>
      <c r="E5" s="49">
        <v>500</v>
      </c>
      <c r="F5" s="49"/>
      <c r="G5" s="49"/>
      <c r="H5" s="48" t="s">
        <v>369</v>
      </c>
      <c r="I5" s="51" t="s">
        <v>199</v>
      </c>
      <c r="J5" s="51">
        <v>2</v>
      </c>
      <c r="K5" s="51" t="s">
        <v>361</v>
      </c>
      <c r="L5" s="49">
        <v>5</v>
      </c>
      <c r="M5" s="49">
        <v>50</v>
      </c>
    </row>
    <row r="6" spans="1:13" x14ac:dyDescent="0.3">
      <c r="A6" s="51">
        <v>4</v>
      </c>
      <c r="B6" s="51" t="s">
        <v>358</v>
      </c>
      <c r="C6" s="49" t="s">
        <v>305</v>
      </c>
      <c r="D6" s="49" t="s">
        <v>358</v>
      </c>
      <c r="E6" s="49">
        <v>3</v>
      </c>
      <c r="F6" s="49"/>
      <c r="G6" s="49"/>
      <c r="H6" s="48" t="s">
        <v>369</v>
      </c>
      <c r="I6" s="51" t="s">
        <v>361</v>
      </c>
      <c r="J6" s="51">
        <v>5</v>
      </c>
      <c r="K6" s="51" t="s">
        <v>253</v>
      </c>
      <c r="L6" s="49">
        <v>1</v>
      </c>
      <c r="M6" s="49">
        <v>100</v>
      </c>
    </row>
    <row r="7" spans="1:13" x14ac:dyDescent="0.3">
      <c r="A7" s="51">
        <v>5</v>
      </c>
      <c r="B7" s="51" t="s">
        <v>373</v>
      </c>
      <c r="C7" s="49" t="s">
        <v>376</v>
      </c>
      <c r="D7" s="49" t="s">
        <v>217</v>
      </c>
      <c r="E7" s="49">
        <v>2</v>
      </c>
      <c r="F7" s="49"/>
      <c r="G7" s="49"/>
      <c r="H7" s="48" t="s">
        <v>369</v>
      </c>
      <c r="I7" s="51" t="s">
        <v>268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373</v>
      </c>
      <c r="C8" s="49" t="s">
        <v>348</v>
      </c>
      <c r="D8" s="48" t="s">
        <v>195</v>
      </c>
      <c r="E8" s="48">
        <v>2</v>
      </c>
      <c r="F8" s="48"/>
      <c r="G8" s="48"/>
      <c r="H8" s="48" t="s">
        <v>369</v>
      </c>
      <c r="I8" s="51" t="s">
        <v>205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373</v>
      </c>
      <c r="C9" s="49" t="s">
        <v>290</v>
      </c>
      <c r="D9" s="49" t="s">
        <v>365</v>
      </c>
      <c r="E9" s="49">
        <v>2</v>
      </c>
      <c r="F9" s="49"/>
      <c r="G9" s="49"/>
      <c r="H9" s="48" t="s">
        <v>369</v>
      </c>
      <c r="I9" s="51" t="s">
        <v>365</v>
      </c>
      <c r="J9" s="51">
        <v>1</v>
      </c>
      <c r="K9" s="51" t="s">
        <v>197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375</v>
      </c>
      <c r="C10" s="49" t="s">
        <v>301</v>
      </c>
      <c r="D10" s="49" t="s">
        <v>352</v>
      </c>
      <c r="E10" s="49">
        <v>100</v>
      </c>
      <c r="F10" s="49" t="s">
        <v>354</v>
      </c>
      <c r="G10" s="49">
        <v>5</v>
      </c>
      <c r="H10" s="48" t="s">
        <v>369</v>
      </c>
      <c r="I10" s="51" t="s">
        <v>360</v>
      </c>
      <c r="J10" s="51">
        <v>10</v>
      </c>
      <c r="K10" s="51" t="s">
        <v>268</v>
      </c>
      <c r="L10" s="49"/>
      <c r="M10" s="49">
        <v>100</v>
      </c>
    </row>
    <row r="11" spans="1:13" x14ac:dyDescent="0.3">
      <c r="A11" s="51">
        <v>9</v>
      </c>
      <c r="B11" s="51" t="s">
        <v>373</v>
      </c>
      <c r="C11" s="49" t="s">
        <v>381</v>
      </c>
      <c r="D11" s="49" t="s">
        <v>382</v>
      </c>
      <c r="E11" s="49">
        <v>2</v>
      </c>
      <c r="F11" s="49"/>
      <c r="G11" s="49"/>
      <c r="H11" s="48" t="s">
        <v>369</v>
      </c>
      <c r="I11" s="51" t="s">
        <v>224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358</v>
      </c>
      <c r="C12" s="49" t="s">
        <v>306</v>
      </c>
      <c r="D12" s="49" t="s">
        <v>358</v>
      </c>
      <c r="E12" s="49">
        <v>1</v>
      </c>
      <c r="F12" s="49"/>
      <c r="G12" s="49"/>
      <c r="H12" s="48" t="s">
        <v>369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373</v>
      </c>
      <c r="C13" s="49" t="s">
        <v>377</v>
      </c>
      <c r="D13" s="49" t="s">
        <v>378</v>
      </c>
      <c r="E13" s="49">
        <v>2</v>
      </c>
      <c r="F13" s="49"/>
      <c r="G13" s="49"/>
      <c r="H13" s="48" t="s">
        <v>369</v>
      </c>
      <c r="I13" s="51" t="s">
        <v>365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373</v>
      </c>
      <c r="C14" s="49" t="s">
        <v>349</v>
      </c>
      <c r="D14" s="49" t="s">
        <v>199</v>
      </c>
      <c r="E14" s="49">
        <v>2</v>
      </c>
      <c r="F14" s="49"/>
      <c r="G14" s="49"/>
      <c r="H14" s="48" t="s">
        <v>369</v>
      </c>
      <c r="I14" s="51" t="s">
        <v>205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373</v>
      </c>
      <c r="C15" s="49" t="s">
        <v>347</v>
      </c>
      <c r="D15" s="49" t="s">
        <v>205</v>
      </c>
      <c r="E15" s="49">
        <v>2</v>
      </c>
      <c r="F15" s="49"/>
      <c r="G15" s="49"/>
      <c r="H15" s="48" t="s">
        <v>369</v>
      </c>
      <c r="I15" s="51" t="s">
        <v>268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358</v>
      </c>
      <c r="C16" s="49" t="s">
        <v>315</v>
      </c>
      <c r="D16" s="49" t="s">
        <v>358</v>
      </c>
      <c r="E16" s="49">
        <v>3</v>
      </c>
      <c r="F16" s="49"/>
      <c r="G16" s="49"/>
      <c r="H16" s="48" t="s">
        <v>370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373</v>
      </c>
      <c r="C17" s="49" t="s">
        <v>364</v>
      </c>
      <c r="D17" s="49" t="s">
        <v>235</v>
      </c>
      <c r="E17" s="49">
        <v>300</v>
      </c>
      <c r="F17" s="49"/>
      <c r="G17" s="49"/>
      <c r="H17" s="48" t="s">
        <v>369</v>
      </c>
      <c r="I17" s="51" t="s">
        <v>361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358</v>
      </c>
      <c r="C18" s="49" t="s">
        <v>316</v>
      </c>
      <c r="D18" s="49" t="s">
        <v>358</v>
      </c>
      <c r="E18" s="49">
        <v>1</v>
      </c>
      <c r="F18" s="49" t="s">
        <v>138</v>
      </c>
      <c r="G18" s="59">
        <v>0.02</v>
      </c>
      <c r="H18" s="48" t="s">
        <v>369</v>
      </c>
      <c r="I18" s="51" t="s">
        <v>208</v>
      </c>
      <c r="J18" s="51">
        <v>2</v>
      </c>
      <c r="K18" s="51" t="s">
        <v>308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373</v>
      </c>
      <c r="C19" s="49" t="s">
        <v>372</v>
      </c>
      <c r="D19" s="49" t="s">
        <v>192</v>
      </c>
      <c r="E19" s="49">
        <v>2</v>
      </c>
      <c r="F19" s="49"/>
      <c r="G19" s="49"/>
      <c r="H19" s="48" t="s">
        <v>369</v>
      </c>
      <c r="I19" s="51" t="s">
        <v>268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373</v>
      </c>
      <c r="C20" s="49" t="s">
        <v>383</v>
      </c>
      <c r="D20" s="49" t="s">
        <v>253</v>
      </c>
      <c r="E20" s="49">
        <v>2</v>
      </c>
      <c r="F20" s="49"/>
      <c r="G20" s="49"/>
      <c r="H20" s="48" t="s">
        <v>369</v>
      </c>
      <c r="I20" s="51" t="s">
        <v>268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375</v>
      </c>
      <c r="C21" s="49" t="s">
        <v>300</v>
      </c>
      <c r="D21" s="49" t="s">
        <v>352</v>
      </c>
      <c r="E21" s="49">
        <v>30</v>
      </c>
      <c r="F21" s="49" t="s">
        <v>354</v>
      </c>
      <c r="G21" s="49">
        <v>3</v>
      </c>
      <c r="H21" s="48" t="s">
        <v>369</v>
      </c>
      <c r="I21" s="51" t="s">
        <v>217</v>
      </c>
      <c r="J21" s="51">
        <v>5</v>
      </c>
      <c r="K21" s="51" t="s">
        <v>308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358</v>
      </c>
      <c r="C22" s="49" t="s">
        <v>285</v>
      </c>
      <c r="D22" s="49" t="s">
        <v>358</v>
      </c>
      <c r="E22" s="49">
        <v>1</v>
      </c>
      <c r="F22" s="49"/>
      <c r="G22" s="49"/>
      <c r="H22" s="48" t="s">
        <v>369</v>
      </c>
      <c r="I22" s="51" t="s">
        <v>269</v>
      </c>
      <c r="J22" s="51">
        <v>4</v>
      </c>
      <c r="K22" s="51" t="s">
        <v>268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374</v>
      </c>
      <c r="C23" s="49" t="s">
        <v>371</v>
      </c>
      <c r="D23" s="49" t="s">
        <v>359</v>
      </c>
      <c r="E23" s="49"/>
      <c r="F23" s="49"/>
      <c r="G23" s="49"/>
      <c r="H23" s="48" t="s">
        <v>370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375</v>
      </c>
      <c r="C24" s="49" t="s">
        <v>97</v>
      </c>
      <c r="D24" s="49" t="s">
        <v>118</v>
      </c>
      <c r="E24" s="49">
        <v>-1</v>
      </c>
      <c r="F24" s="49" t="s">
        <v>354</v>
      </c>
      <c r="G24" s="49">
        <v>3</v>
      </c>
      <c r="H24" s="48" t="s">
        <v>369</v>
      </c>
      <c r="I24" s="51" t="s">
        <v>208</v>
      </c>
      <c r="J24" s="51">
        <v>4</v>
      </c>
      <c r="K24" s="51" t="s">
        <v>365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374</v>
      </c>
      <c r="C25" s="49" t="s">
        <v>292</v>
      </c>
      <c r="D25" s="49" t="s">
        <v>357</v>
      </c>
      <c r="E25" s="49">
        <v>2</v>
      </c>
      <c r="F25" s="49"/>
      <c r="G25" s="49"/>
      <c r="H25" s="48" t="s">
        <v>369</v>
      </c>
      <c r="I25" s="51" t="s">
        <v>360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373</v>
      </c>
      <c r="C26" s="49" t="s">
        <v>350</v>
      </c>
      <c r="D26" s="49" t="s">
        <v>235</v>
      </c>
      <c r="E26" s="49">
        <v>800</v>
      </c>
      <c r="F26" s="49"/>
      <c r="G26" s="49"/>
      <c r="H26" s="48" t="s">
        <v>369</v>
      </c>
      <c r="I26" s="51" t="s">
        <v>199</v>
      </c>
      <c r="J26" s="51">
        <v>5</v>
      </c>
      <c r="K26" s="51" t="s">
        <v>197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374</v>
      </c>
      <c r="C27" s="49" t="s">
        <v>293</v>
      </c>
      <c r="D27" s="49" t="s">
        <v>357</v>
      </c>
      <c r="E27" s="49">
        <v>1</v>
      </c>
      <c r="F27" s="49" t="s">
        <v>354</v>
      </c>
      <c r="G27" s="49">
        <v>1</v>
      </c>
      <c r="H27" s="48" t="s">
        <v>369</v>
      </c>
      <c r="I27" s="51" t="s">
        <v>268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374</v>
      </c>
      <c r="C28" s="49" t="s">
        <v>385</v>
      </c>
      <c r="D28" s="49" t="s">
        <v>138</v>
      </c>
      <c r="E28" s="58">
        <v>0.01</v>
      </c>
      <c r="F28" s="49"/>
      <c r="G28" s="49"/>
      <c r="H28" s="48" t="s">
        <v>369</v>
      </c>
      <c r="I28" s="51" t="s">
        <v>284</v>
      </c>
      <c r="J28" s="51">
        <v>1</v>
      </c>
      <c r="K28" s="51" t="s">
        <v>308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374</v>
      </c>
      <c r="C29" s="49" t="s">
        <v>366</v>
      </c>
      <c r="D29" s="49" t="s">
        <v>367</v>
      </c>
      <c r="E29" s="49"/>
      <c r="F29" s="49"/>
      <c r="G29" s="49"/>
      <c r="H29" s="48" t="s">
        <v>370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373</v>
      </c>
      <c r="C30" s="49" t="s">
        <v>288</v>
      </c>
      <c r="D30" s="49" t="s">
        <v>268</v>
      </c>
      <c r="E30" s="49">
        <v>2</v>
      </c>
      <c r="F30" s="49"/>
      <c r="G30" s="49"/>
      <c r="H30" s="48" t="s">
        <v>369</v>
      </c>
      <c r="I30" s="51" t="s">
        <v>195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373</v>
      </c>
      <c r="C31" s="49" t="s">
        <v>380</v>
      </c>
      <c r="D31" s="49" t="s">
        <v>219</v>
      </c>
      <c r="E31" s="49">
        <v>2</v>
      </c>
      <c r="F31" s="49"/>
      <c r="G31" s="49"/>
      <c r="H31" s="48" t="s">
        <v>369</v>
      </c>
      <c r="I31" s="51" t="s">
        <v>221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373</v>
      </c>
      <c r="C32" s="49" t="s">
        <v>351</v>
      </c>
      <c r="D32" s="49" t="s">
        <v>197</v>
      </c>
      <c r="E32" s="49">
        <v>2</v>
      </c>
      <c r="F32" s="49"/>
      <c r="G32" s="49"/>
      <c r="H32" s="48" t="s">
        <v>369</v>
      </c>
      <c r="I32" s="51" t="s">
        <v>205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375</v>
      </c>
      <c r="C33" s="49" t="s">
        <v>291</v>
      </c>
      <c r="D33" s="49" t="s">
        <v>235</v>
      </c>
      <c r="E33" s="49">
        <v>1</v>
      </c>
      <c r="F33" s="49" t="s">
        <v>354</v>
      </c>
      <c r="G33" s="49">
        <v>1</v>
      </c>
      <c r="H33" s="48" t="s">
        <v>369</v>
      </c>
      <c r="I33" s="51" t="s">
        <v>360</v>
      </c>
      <c r="J33" s="51">
        <v>1</v>
      </c>
      <c r="K33" s="51" t="s">
        <v>275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358</v>
      </c>
      <c r="C34" s="49" t="s">
        <v>287</v>
      </c>
      <c r="D34" s="49" t="s">
        <v>358</v>
      </c>
      <c r="E34" s="49">
        <v>2</v>
      </c>
      <c r="F34" s="49" t="s">
        <v>138</v>
      </c>
      <c r="G34" s="58">
        <v>0.01</v>
      </c>
      <c r="H34" s="48" t="s">
        <v>369</v>
      </c>
      <c r="I34" s="51" t="s">
        <v>224</v>
      </c>
      <c r="J34" s="51">
        <v>5</v>
      </c>
      <c r="K34" s="51" t="s">
        <v>252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358</v>
      </c>
      <c r="C35" s="49" t="s">
        <v>311</v>
      </c>
      <c r="D35" s="49" t="s">
        <v>358</v>
      </c>
      <c r="E35" s="49">
        <v>5</v>
      </c>
      <c r="F35" s="49"/>
      <c r="G35" s="49"/>
      <c r="H35" s="48" t="s">
        <v>369</v>
      </c>
      <c r="I35" s="51" t="s">
        <v>368</v>
      </c>
      <c r="J35" s="51">
        <v>2</v>
      </c>
      <c r="K35" s="51" t="s">
        <v>308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358</v>
      </c>
      <c r="C36" s="49" t="s">
        <v>286</v>
      </c>
      <c r="D36" s="49" t="s">
        <v>358</v>
      </c>
      <c r="E36" s="49">
        <v>1</v>
      </c>
      <c r="F36" s="49" t="s">
        <v>138</v>
      </c>
      <c r="G36" s="59">
        <v>0.02</v>
      </c>
      <c r="H36" s="48" t="s">
        <v>369</v>
      </c>
      <c r="I36" s="51" t="s">
        <v>224</v>
      </c>
      <c r="J36" s="51">
        <v>3</v>
      </c>
      <c r="K36" s="51" t="s">
        <v>269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375</v>
      </c>
      <c r="C37" s="49" t="s">
        <v>299</v>
      </c>
      <c r="D37" s="49" t="s">
        <v>352</v>
      </c>
      <c r="E37" s="49">
        <v>10</v>
      </c>
      <c r="F37" s="49" t="s">
        <v>354</v>
      </c>
      <c r="G37" s="49">
        <v>2</v>
      </c>
      <c r="H37" s="48" t="s">
        <v>369</v>
      </c>
      <c r="I37" s="51" t="s">
        <v>217</v>
      </c>
      <c r="J37" s="51">
        <v>3</v>
      </c>
      <c r="K37" s="51" t="s">
        <v>268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373</v>
      </c>
      <c r="C38" s="49" t="s">
        <v>379</v>
      </c>
      <c r="D38" s="49" t="s">
        <v>201</v>
      </c>
      <c r="E38" s="49">
        <v>2</v>
      </c>
      <c r="F38" s="49"/>
      <c r="G38" s="49"/>
      <c r="H38" s="48" t="s">
        <v>369</v>
      </c>
      <c r="I38" s="51" t="s">
        <v>219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373</v>
      </c>
      <c r="C39" s="49" t="s">
        <v>390</v>
      </c>
      <c r="D39" s="49" t="s">
        <v>275</v>
      </c>
      <c r="E39" s="49">
        <v>2</v>
      </c>
      <c r="F39" s="49"/>
      <c r="G39" s="49"/>
      <c r="H39" s="48" t="s">
        <v>369</v>
      </c>
      <c r="I39" s="51" t="s">
        <v>224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 xr:uid="{00000000-0009-0000-0000-000006000000}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theme="0" tint="-0.499984740745262"/>
  </sheetPr>
  <dimension ref="A1:D36"/>
  <sheetViews>
    <sheetView topLeftCell="A10" workbookViewId="0">
      <selection activeCell="C13" sqref="C13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5" customWidth="1"/>
    <col min="4" max="4" width="25.75" style="125" customWidth="1"/>
  </cols>
  <sheetData>
    <row r="1" spans="1:4" x14ac:dyDescent="0.3">
      <c r="A1" s="260" t="s">
        <v>188</v>
      </c>
      <c r="B1" s="260" t="s">
        <v>193</v>
      </c>
      <c r="C1" s="124" t="s">
        <v>420</v>
      </c>
      <c r="D1" s="124" t="s">
        <v>421</v>
      </c>
    </row>
    <row r="2" spans="1:4" x14ac:dyDescent="0.3">
      <c r="A2" s="261"/>
      <c r="B2" s="261"/>
      <c r="C2" s="124" t="s">
        <v>172</v>
      </c>
      <c r="D2" s="124" t="s">
        <v>172</v>
      </c>
    </row>
    <row r="3" spans="1:4" x14ac:dyDescent="0.3">
      <c r="A3" s="10" t="s">
        <v>322</v>
      </c>
      <c r="B3" s="11" t="s">
        <v>192</v>
      </c>
      <c r="C3" s="16">
        <v>1</v>
      </c>
      <c r="D3" s="16">
        <f>C3*5</f>
        <v>5</v>
      </c>
    </row>
    <row r="4" spans="1:4" x14ac:dyDescent="0.3">
      <c r="A4" s="10" t="s">
        <v>322</v>
      </c>
      <c r="B4" s="11" t="s">
        <v>195</v>
      </c>
      <c r="C4" s="16">
        <v>3</v>
      </c>
      <c r="D4" s="16">
        <f t="shared" ref="D4:D36" si="0">C4*5</f>
        <v>15</v>
      </c>
    </row>
    <row r="5" spans="1:4" x14ac:dyDescent="0.3">
      <c r="A5" s="10" t="s">
        <v>322</v>
      </c>
      <c r="B5" s="11" t="s">
        <v>197</v>
      </c>
      <c r="C5" s="16">
        <v>5</v>
      </c>
      <c r="D5" s="16">
        <f t="shared" si="0"/>
        <v>25</v>
      </c>
    </row>
    <row r="6" spans="1:4" x14ac:dyDescent="0.3">
      <c r="A6" s="10" t="s">
        <v>322</v>
      </c>
      <c r="B6" s="11" t="s">
        <v>199</v>
      </c>
      <c r="C6" s="16">
        <v>7</v>
      </c>
      <c r="D6" s="16">
        <f t="shared" si="0"/>
        <v>35</v>
      </c>
    </row>
    <row r="7" spans="1:4" x14ac:dyDescent="0.3">
      <c r="A7" s="10" t="s">
        <v>322</v>
      </c>
      <c r="B7" s="11" t="s">
        <v>201</v>
      </c>
      <c r="C7" s="16">
        <v>10</v>
      </c>
      <c r="D7" s="16">
        <f t="shared" si="0"/>
        <v>50</v>
      </c>
    </row>
    <row r="8" spans="1:4" x14ac:dyDescent="0.3">
      <c r="A8" s="10" t="s">
        <v>322</v>
      </c>
      <c r="B8" s="11" t="s">
        <v>365</v>
      </c>
      <c r="C8" s="16">
        <v>100</v>
      </c>
      <c r="D8" s="16">
        <f t="shared" si="0"/>
        <v>500</v>
      </c>
    </row>
    <row r="9" spans="1:4" x14ac:dyDescent="0.3">
      <c r="A9" s="10" t="s">
        <v>322</v>
      </c>
      <c r="B9" s="11" t="s">
        <v>205</v>
      </c>
      <c r="C9" s="16">
        <v>1</v>
      </c>
      <c r="D9" s="16">
        <f t="shared" si="0"/>
        <v>5</v>
      </c>
    </row>
    <row r="10" spans="1:4" x14ac:dyDescent="0.3">
      <c r="A10" s="10" t="s">
        <v>322</v>
      </c>
      <c r="B10" s="11" t="s">
        <v>268</v>
      </c>
      <c r="C10" s="16">
        <v>1</v>
      </c>
      <c r="D10" s="16">
        <f t="shared" si="0"/>
        <v>5</v>
      </c>
    </row>
    <row r="11" spans="1:4" x14ac:dyDescent="0.3">
      <c r="A11" s="10" t="s">
        <v>322</v>
      </c>
      <c r="B11" s="11" t="s">
        <v>208</v>
      </c>
      <c r="C11" s="16">
        <v>5</v>
      </c>
      <c r="D11" s="16">
        <f t="shared" si="0"/>
        <v>25</v>
      </c>
    </row>
    <row r="12" spans="1:4" x14ac:dyDescent="0.3">
      <c r="A12" s="10" t="s">
        <v>322</v>
      </c>
      <c r="B12" s="11" t="s">
        <v>210</v>
      </c>
      <c r="C12" s="16">
        <v>10</v>
      </c>
      <c r="D12" s="16">
        <f t="shared" si="0"/>
        <v>50</v>
      </c>
    </row>
    <row r="13" spans="1:4" x14ac:dyDescent="0.3">
      <c r="A13" s="10" t="s">
        <v>322</v>
      </c>
      <c r="B13" s="11" t="s">
        <v>253</v>
      </c>
      <c r="C13" s="16">
        <v>3</v>
      </c>
      <c r="D13" s="16">
        <f t="shared" si="0"/>
        <v>15</v>
      </c>
    </row>
    <row r="14" spans="1:4" x14ac:dyDescent="0.3">
      <c r="A14" s="10" t="s">
        <v>322</v>
      </c>
      <c r="B14" s="11" t="s">
        <v>217</v>
      </c>
      <c r="C14" s="16">
        <v>2</v>
      </c>
      <c r="D14" s="16">
        <f t="shared" si="0"/>
        <v>10</v>
      </c>
    </row>
    <row r="15" spans="1:4" x14ac:dyDescent="0.3">
      <c r="A15" s="10" t="s">
        <v>322</v>
      </c>
      <c r="B15" s="11" t="s">
        <v>219</v>
      </c>
      <c r="C15" s="16">
        <v>2</v>
      </c>
      <c r="D15" s="16">
        <f t="shared" si="0"/>
        <v>10</v>
      </c>
    </row>
    <row r="16" spans="1:4" x14ac:dyDescent="0.3">
      <c r="A16" s="10" t="s">
        <v>322</v>
      </c>
      <c r="B16" s="11" t="s">
        <v>221</v>
      </c>
      <c r="C16" s="16">
        <v>2</v>
      </c>
      <c r="D16" s="16">
        <f t="shared" si="0"/>
        <v>10</v>
      </c>
    </row>
    <row r="17" spans="1:4" x14ac:dyDescent="0.3">
      <c r="A17" s="10" t="s">
        <v>322</v>
      </c>
      <c r="B17" s="11" t="s">
        <v>319</v>
      </c>
      <c r="C17" s="16">
        <v>3</v>
      </c>
      <c r="D17" s="16">
        <f t="shared" si="0"/>
        <v>15</v>
      </c>
    </row>
    <row r="18" spans="1:4" x14ac:dyDescent="0.3">
      <c r="A18" s="10" t="s">
        <v>322</v>
      </c>
      <c r="B18" s="11" t="s">
        <v>212</v>
      </c>
      <c r="C18" s="16">
        <v>10</v>
      </c>
      <c r="D18" s="16">
        <f t="shared" si="0"/>
        <v>50</v>
      </c>
    </row>
    <row r="19" spans="1:4" x14ac:dyDescent="0.3">
      <c r="A19" s="10" t="s">
        <v>322</v>
      </c>
      <c r="B19" s="11" t="s">
        <v>269</v>
      </c>
      <c r="C19" s="16">
        <v>5</v>
      </c>
      <c r="D19" s="16">
        <f t="shared" si="0"/>
        <v>25</v>
      </c>
    </row>
    <row r="20" spans="1:4" x14ac:dyDescent="0.3">
      <c r="A20" s="10" t="s">
        <v>322</v>
      </c>
      <c r="B20" s="11" t="s">
        <v>252</v>
      </c>
      <c r="C20" s="16">
        <v>5</v>
      </c>
      <c r="D20" s="16">
        <f t="shared" si="0"/>
        <v>25</v>
      </c>
    </row>
    <row r="21" spans="1:4" x14ac:dyDescent="0.3">
      <c r="A21" s="10" t="s">
        <v>322</v>
      </c>
      <c r="B21" s="11" t="s">
        <v>231</v>
      </c>
      <c r="C21" s="16">
        <v>1</v>
      </c>
      <c r="D21" s="16">
        <f t="shared" si="0"/>
        <v>5</v>
      </c>
    </row>
    <row r="22" spans="1:4" x14ac:dyDescent="0.3">
      <c r="A22" s="10" t="s">
        <v>322</v>
      </c>
      <c r="B22" s="11" t="s">
        <v>228</v>
      </c>
      <c r="C22" s="16">
        <v>5</v>
      </c>
      <c r="D22" s="16">
        <f t="shared" si="0"/>
        <v>25</v>
      </c>
    </row>
    <row r="23" spans="1:4" x14ac:dyDescent="0.3">
      <c r="A23" s="10" t="s">
        <v>272</v>
      </c>
      <c r="B23" s="11" t="s">
        <v>303</v>
      </c>
      <c r="C23" s="16">
        <v>200</v>
      </c>
      <c r="D23" s="16">
        <f t="shared" si="0"/>
        <v>1000</v>
      </c>
    </row>
    <row r="24" spans="1:4" x14ac:dyDescent="0.3">
      <c r="A24" s="10" t="s">
        <v>272</v>
      </c>
      <c r="B24" s="11" t="s">
        <v>284</v>
      </c>
      <c r="C24" s="16">
        <v>4</v>
      </c>
      <c r="D24" s="16">
        <f t="shared" si="0"/>
        <v>20</v>
      </c>
    </row>
    <row r="25" spans="1:4" x14ac:dyDescent="0.3">
      <c r="A25" s="10" t="s">
        <v>272</v>
      </c>
      <c r="B25" s="11" t="s">
        <v>295</v>
      </c>
      <c r="C25" s="16">
        <v>40</v>
      </c>
      <c r="D25" s="16">
        <f t="shared" si="0"/>
        <v>200</v>
      </c>
    </row>
    <row r="26" spans="1:4" x14ac:dyDescent="0.3">
      <c r="A26" s="10" t="s">
        <v>272</v>
      </c>
      <c r="B26" s="11" t="s">
        <v>224</v>
      </c>
      <c r="C26" s="16">
        <v>5</v>
      </c>
      <c r="D26" s="16">
        <f t="shared" si="0"/>
        <v>25</v>
      </c>
    </row>
    <row r="27" spans="1:4" x14ac:dyDescent="0.3">
      <c r="A27" s="10" t="s">
        <v>272</v>
      </c>
      <c r="B27" s="11" t="s">
        <v>298</v>
      </c>
      <c r="C27" s="16">
        <v>200</v>
      </c>
      <c r="D27" s="16">
        <f t="shared" si="0"/>
        <v>1000</v>
      </c>
    </row>
    <row r="28" spans="1:4" x14ac:dyDescent="0.3">
      <c r="A28" s="10" t="s">
        <v>272</v>
      </c>
      <c r="B28" s="11" t="s">
        <v>310</v>
      </c>
      <c r="C28" s="16">
        <v>10</v>
      </c>
      <c r="D28" s="16">
        <f t="shared" si="0"/>
        <v>50</v>
      </c>
    </row>
    <row r="29" spans="1:4" x14ac:dyDescent="0.3">
      <c r="A29" s="10" t="s">
        <v>272</v>
      </c>
      <c r="B29" s="11" t="s">
        <v>313</v>
      </c>
      <c r="C29" s="16">
        <v>100</v>
      </c>
      <c r="D29" s="16">
        <f t="shared" si="0"/>
        <v>500</v>
      </c>
    </row>
    <row r="30" spans="1:4" x14ac:dyDescent="0.3">
      <c r="A30" s="10" t="s">
        <v>272</v>
      </c>
      <c r="B30" s="11" t="s">
        <v>279</v>
      </c>
      <c r="C30" s="16">
        <v>3</v>
      </c>
      <c r="D30" s="16">
        <f t="shared" si="0"/>
        <v>15</v>
      </c>
    </row>
    <row r="31" spans="1:4" x14ac:dyDescent="0.3">
      <c r="A31" s="10" t="s">
        <v>272</v>
      </c>
      <c r="B31" s="11" t="s">
        <v>277</v>
      </c>
      <c r="C31" s="16">
        <v>40</v>
      </c>
      <c r="D31" s="16">
        <f t="shared" si="0"/>
        <v>200</v>
      </c>
    </row>
    <row r="32" spans="1:4" x14ac:dyDescent="0.3">
      <c r="A32" s="10" t="s">
        <v>272</v>
      </c>
      <c r="B32" s="11" t="s">
        <v>275</v>
      </c>
      <c r="C32" s="16">
        <v>5</v>
      </c>
      <c r="D32" s="16">
        <f t="shared" si="0"/>
        <v>25</v>
      </c>
    </row>
    <row r="33" spans="1:4" x14ac:dyDescent="0.3">
      <c r="A33" s="10" t="s">
        <v>272</v>
      </c>
      <c r="B33" s="11" t="s">
        <v>226</v>
      </c>
      <c r="C33" s="16">
        <v>150</v>
      </c>
      <c r="D33" s="16">
        <f t="shared" si="0"/>
        <v>750</v>
      </c>
    </row>
    <row r="34" spans="1:4" x14ac:dyDescent="0.3">
      <c r="A34" s="10" t="s">
        <v>272</v>
      </c>
      <c r="B34" s="11" t="s">
        <v>296</v>
      </c>
      <c r="C34" s="16">
        <v>15</v>
      </c>
      <c r="D34" s="16">
        <f t="shared" si="0"/>
        <v>75</v>
      </c>
    </row>
    <row r="35" spans="1:4" x14ac:dyDescent="0.3">
      <c r="A35" s="10" t="s">
        <v>272</v>
      </c>
      <c r="B35" s="11" t="s">
        <v>308</v>
      </c>
      <c r="C35" s="16">
        <v>2</v>
      </c>
      <c r="D35" s="16">
        <f t="shared" si="0"/>
        <v>10</v>
      </c>
    </row>
    <row r="36" spans="1:4" x14ac:dyDescent="0.3">
      <c r="A36" s="10" t="s">
        <v>272</v>
      </c>
      <c r="B36" s="11" t="s">
        <v>361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344</v>
      </c>
    </row>
    <row r="2" spans="1:2" x14ac:dyDescent="0.3">
      <c r="A2" s="56" t="s">
        <v>345</v>
      </c>
      <c r="B2" s="56" t="s">
        <v>346</v>
      </c>
    </row>
    <row r="3" spans="1:2" x14ac:dyDescent="0.3">
      <c r="A3" s="10" t="s">
        <v>192</v>
      </c>
      <c r="B3" s="10" t="s">
        <v>193</v>
      </c>
    </row>
    <row r="4" spans="1:2" x14ac:dyDescent="0.3">
      <c r="A4" s="10" t="s">
        <v>195</v>
      </c>
      <c r="B4" s="10" t="s">
        <v>193</v>
      </c>
    </row>
    <row r="5" spans="1:2" x14ac:dyDescent="0.3">
      <c r="A5" s="10" t="s">
        <v>197</v>
      </c>
      <c r="B5" s="10" t="s">
        <v>193</v>
      </c>
    </row>
    <row r="6" spans="1:2" x14ac:dyDescent="0.3">
      <c r="A6" s="10" t="s">
        <v>199</v>
      </c>
      <c r="B6" s="10" t="s">
        <v>193</v>
      </c>
    </row>
    <row r="7" spans="1:2" x14ac:dyDescent="0.3">
      <c r="A7" s="10" t="s">
        <v>201</v>
      </c>
      <c r="B7" s="10" t="s">
        <v>193</v>
      </c>
    </row>
    <row r="8" spans="1:2" x14ac:dyDescent="0.3">
      <c r="A8" s="10" t="s">
        <v>203</v>
      </c>
      <c r="B8" s="10" t="s">
        <v>193</v>
      </c>
    </row>
    <row r="9" spans="1:2" x14ac:dyDescent="0.3">
      <c r="A9" s="10" t="s">
        <v>205</v>
      </c>
      <c r="B9" s="10" t="s">
        <v>193</v>
      </c>
    </row>
    <row r="10" spans="1:2" x14ac:dyDescent="0.3">
      <c r="A10" s="10" t="s">
        <v>268</v>
      </c>
      <c r="B10" s="10" t="s">
        <v>193</v>
      </c>
    </row>
    <row r="11" spans="1:2" x14ac:dyDescent="0.3">
      <c r="A11" s="10" t="s">
        <v>208</v>
      </c>
      <c r="B11" s="10" t="s">
        <v>193</v>
      </c>
    </row>
    <row r="12" spans="1:2" x14ac:dyDescent="0.3">
      <c r="A12" s="10" t="s">
        <v>210</v>
      </c>
      <c r="B12" s="10" t="s">
        <v>193</v>
      </c>
    </row>
    <row r="13" spans="1:2" x14ac:dyDescent="0.3">
      <c r="A13" s="10" t="s">
        <v>253</v>
      </c>
      <c r="B13" s="10" t="s">
        <v>193</v>
      </c>
    </row>
    <row r="14" spans="1:2" x14ac:dyDescent="0.3">
      <c r="A14" s="10" t="s">
        <v>214</v>
      </c>
      <c r="B14" s="10" t="s">
        <v>193</v>
      </c>
    </row>
    <row r="15" spans="1:2" x14ac:dyDescent="0.3">
      <c r="A15" s="10" t="s">
        <v>217</v>
      </c>
      <c r="B15" s="10" t="s">
        <v>193</v>
      </c>
    </row>
    <row r="16" spans="1:2" x14ac:dyDescent="0.3">
      <c r="A16" s="10" t="s">
        <v>219</v>
      </c>
      <c r="B16" s="10" t="s">
        <v>193</v>
      </c>
    </row>
    <row r="17" spans="1:2" x14ac:dyDescent="0.3">
      <c r="A17" s="10" t="s">
        <v>221</v>
      </c>
      <c r="B17" s="10" t="s">
        <v>222</v>
      </c>
    </row>
    <row r="18" spans="1:2" x14ac:dyDescent="0.3">
      <c r="A18" s="10" t="s">
        <v>319</v>
      </c>
      <c r="B18" s="10" t="s">
        <v>193</v>
      </c>
    </row>
    <row r="19" spans="1:2" x14ac:dyDescent="0.3">
      <c r="A19" s="10" t="s">
        <v>212</v>
      </c>
      <c r="B19" s="10" t="s">
        <v>193</v>
      </c>
    </row>
    <row r="20" spans="1:2" x14ac:dyDescent="0.3">
      <c r="A20" s="10" t="s">
        <v>269</v>
      </c>
      <c r="B20" s="10" t="s">
        <v>222</v>
      </c>
    </row>
    <row r="21" spans="1:2" x14ac:dyDescent="0.3">
      <c r="A21" s="10" t="s">
        <v>252</v>
      </c>
      <c r="B21" s="10" t="s">
        <v>222</v>
      </c>
    </row>
    <row r="22" spans="1:2" x14ac:dyDescent="0.3">
      <c r="A22" s="10" t="s">
        <v>231</v>
      </c>
      <c r="B22" s="10" t="s">
        <v>222</v>
      </c>
    </row>
    <row r="23" spans="1:2" x14ac:dyDescent="0.3">
      <c r="A23" s="10" t="s">
        <v>228</v>
      </c>
      <c r="B23" s="10" t="s">
        <v>193</v>
      </c>
    </row>
    <row r="24" spans="1:2" x14ac:dyDescent="0.3">
      <c r="A24" s="10" t="s">
        <v>235</v>
      </c>
      <c r="B24" s="10" t="s">
        <v>193</v>
      </c>
    </row>
    <row r="25" spans="1:2" x14ac:dyDescent="0.3">
      <c r="A25" s="10" t="s">
        <v>238</v>
      </c>
      <c r="B25" s="10" t="s">
        <v>193</v>
      </c>
    </row>
    <row r="26" spans="1:2" x14ac:dyDescent="0.3">
      <c r="A26" s="48" t="s">
        <v>303</v>
      </c>
      <c r="B26" s="48" t="s">
        <v>272</v>
      </c>
    </row>
    <row r="27" spans="1:2" x14ac:dyDescent="0.3">
      <c r="A27" s="48" t="s">
        <v>284</v>
      </c>
      <c r="B27" s="48" t="s">
        <v>222</v>
      </c>
    </row>
    <row r="28" spans="1:2" x14ac:dyDescent="0.3">
      <c r="A28" s="48" t="s">
        <v>295</v>
      </c>
      <c r="B28" s="48" t="s">
        <v>272</v>
      </c>
    </row>
    <row r="29" spans="1:2" x14ac:dyDescent="0.3">
      <c r="A29" s="48" t="s">
        <v>224</v>
      </c>
      <c r="B29" s="48" t="s">
        <v>222</v>
      </c>
    </row>
    <row r="30" spans="1:2" x14ac:dyDescent="0.3">
      <c r="A30" s="48" t="s">
        <v>298</v>
      </c>
      <c r="B30" s="48" t="s">
        <v>272</v>
      </c>
    </row>
    <row r="31" spans="1:2" x14ac:dyDescent="0.3">
      <c r="A31" s="48" t="s">
        <v>310</v>
      </c>
      <c r="B31" s="48" t="s">
        <v>272</v>
      </c>
    </row>
    <row r="32" spans="1:2" x14ac:dyDescent="0.3">
      <c r="A32" s="48" t="s">
        <v>313</v>
      </c>
      <c r="B32" s="48" t="s">
        <v>272</v>
      </c>
    </row>
    <row r="33" spans="1:2" x14ac:dyDescent="0.3">
      <c r="A33" s="48" t="s">
        <v>279</v>
      </c>
      <c r="B33" s="48" t="s">
        <v>272</v>
      </c>
    </row>
    <row r="34" spans="1:2" x14ac:dyDescent="0.3">
      <c r="A34" s="48" t="s">
        <v>277</v>
      </c>
      <c r="B34" s="48" t="s">
        <v>272</v>
      </c>
    </row>
    <row r="35" spans="1:2" x14ac:dyDescent="0.3">
      <c r="A35" s="48" t="s">
        <v>275</v>
      </c>
      <c r="B35" s="48" t="s">
        <v>272</v>
      </c>
    </row>
    <row r="36" spans="1:2" x14ac:dyDescent="0.3">
      <c r="A36" s="48" t="s">
        <v>226</v>
      </c>
      <c r="B36" s="48" t="s">
        <v>272</v>
      </c>
    </row>
    <row r="37" spans="1:2" x14ac:dyDescent="0.3">
      <c r="A37" s="48" t="s">
        <v>296</v>
      </c>
      <c r="B37" s="48" t="s">
        <v>272</v>
      </c>
    </row>
    <row r="38" spans="1:2" x14ac:dyDescent="0.3">
      <c r="A38" s="48" t="s">
        <v>308</v>
      </c>
      <c r="B38" s="48" t="s">
        <v>272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2018-04-30T18:27:04Z</dcterms:modified>
</cp:coreProperties>
</file>